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8960" windowHeight="7932"/>
  </bookViews>
  <sheets>
    <sheet name="PW &amp; Inv Summary" sheetId="4" r:id="rId1"/>
    <sheet name="Pipe &amp; CB Inv Summary" sheetId="1" r:id="rId2"/>
    <sheet name="Landfill Summary" sheetId="5" r:id="rId3"/>
  </sheets>
  <calcPr calcId="145621"/>
</workbook>
</file>

<file path=xl/calcChain.xml><?xml version="1.0" encoding="utf-8"?>
<calcChain xmlns="http://schemas.openxmlformats.org/spreadsheetml/2006/main">
  <c r="AL49" i="4" l="1"/>
  <c r="AL46" i="4"/>
  <c r="AL48" i="4" s="1"/>
  <c r="Z40" i="4"/>
  <c r="AK7" i="4"/>
  <c r="AL7" i="4" s="1"/>
  <c r="AK5" i="4"/>
  <c r="Z12" i="4"/>
  <c r="AA28" i="4"/>
  <c r="L28" i="4"/>
  <c r="L38" i="4" s="1"/>
  <c r="J28" i="4"/>
  <c r="E28" i="4"/>
  <c r="E38" i="4" s="1"/>
  <c r="D28" i="4"/>
  <c r="D38" i="4" s="1"/>
  <c r="C28" i="4"/>
  <c r="C38" i="4" s="1"/>
  <c r="B49" i="4"/>
  <c r="AJ31" i="4"/>
  <c r="AJ30" i="4"/>
  <c r="AJ25" i="4"/>
  <c r="AJ22" i="4"/>
  <c r="AJ20" i="4"/>
  <c r="AJ18" i="4"/>
  <c r="AJ33" i="4"/>
  <c r="AJ32" i="4"/>
  <c r="AD32" i="4"/>
  <c r="AC33" i="4"/>
  <c r="AE33" i="4" s="1"/>
  <c r="AD33" i="4"/>
  <c r="AC32" i="4"/>
  <c r="AK32" i="4" s="1"/>
  <c r="Z32" i="4"/>
  <c r="Z30" i="4"/>
  <c r="AC35" i="4"/>
  <c r="AK35" i="4" s="1"/>
  <c r="AC30" i="4"/>
  <c r="AE30" i="4" s="1"/>
  <c r="I30" i="4"/>
  <c r="I35" i="4"/>
  <c r="Y38" i="4"/>
  <c r="B9" i="5"/>
  <c r="G47" i="1"/>
  <c r="G46" i="1"/>
  <c r="G48" i="1" s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I2" i="4"/>
  <c r="AI2" i="4" s="1"/>
  <c r="N2" i="4"/>
  <c r="N3" i="4" s="1"/>
  <c r="N4" i="4" s="1"/>
  <c r="N5" i="4" s="1"/>
  <c r="N7" i="4" s="1"/>
  <c r="N8" i="4" s="1"/>
  <c r="N9" i="4" s="1"/>
  <c r="N10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O2" i="4"/>
  <c r="O3" i="4" s="1"/>
  <c r="O4" i="4" s="1"/>
  <c r="O5" i="4" s="1"/>
  <c r="O7" i="4" s="1"/>
  <c r="O8" i="4" s="1"/>
  <c r="O9" i="4" s="1"/>
  <c r="O10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Q2" i="4"/>
  <c r="P2" i="4" s="1"/>
  <c r="AC2" i="4"/>
  <c r="AE2" i="4" s="1"/>
  <c r="AD2" i="4"/>
  <c r="AJ2" i="4"/>
  <c r="I3" i="4"/>
  <c r="AI3" i="4" s="1"/>
  <c r="Q3" i="4"/>
  <c r="P3" i="4" s="1"/>
  <c r="R3" i="4" s="1"/>
  <c r="AC3" i="4"/>
  <c r="AE3" i="4" s="1"/>
  <c r="AD3" i="4"/>
  <c r="AJ3" i="4"/>
  <c r="I4" i="4"/>
  <c r="AI4" i="4" s="1"/>
  <c r="Q4" i="4"/>
  <c r="AC4" i="4"/>
  <c r="AK4" i="4" s="1"/>
  <c r="AL4" i="4" s="1"/>
  <c r="AD4" i="4"/>
  <c r="AJ4" i="4"/>
  <c r="I5" i="4"/>
  <c r="Q5" i="4"/>
  <c r="P5" i="4" s="1"/>
  <c r="R5" i="4" s="1"/>
  <c r="AC5" i="4"/>
  <c r="AD5" i="4"/>
  <c r="AC6" i="4"/>
  <c r="AI5" i="4"/>
  <c r="AJ5" i="4"/>
  <c r="Q6" i="4"/>
  <c r="P6" i="4" s="1"/>
  <c r="R6" i="4" s="1"/>
  <c r="I7" i="4"/>
  <c r="AI7" i="4" s="1"/>
  <c r="Q7" i="4"/>
  <c r="P7" i="4" s="1"/>
  <c r="R7" i="4" s="1"/>
  <c r="AC7" i="4"/>
  <c r="AE7" i="4" s="1"/>
  <c r="AD7" i="4"/>
  <c r="AJ7" i="4"/>
  <c r="I8" i="4"/>
  <c r="AI8" i="4" s="1"/>
  <c r="Q8" i="4"/>
  <c r="P8" i="4" s="1"/>
  <c r="R8" i="4" s="1"/>
  <c r="AC8" i="4"/>
  <c r="AE8" i="4" s="1"/>
  <c r="AD8" i="4"/>
  <c r="AJ8" i="4"/>
  <c r="I9" i="4"/>
  <c r="Q9" i="4"/>
  <c r="P9" i="4" s="1"/>
  <c r="R9" i="4" s="1"/>
  <c r="AC9" i="4"/>
  <c r="AE9" i="4" s="1"/>
  <c r="AD9" i="4"/>
  <c r="AI9" i="4"/>
  <c r="AJ9" i="4"/>
  <c r="I10" i="4"/>
  <c r="AI10" i="4" s="1"/>
  <c r="Q10" i="4"/>
  <c r="P10" i="4" s="1"/>
  <c r="R10" i="4" s="1"/>
  <c r="AC10" i="4"/>
  <c r="AK10" i="4" s="1"/>
  <c r="AL10" i="4" s="1"/>
  <c r="AD10" i="4"/>
  <c r="AC11" i="4"/>
  <c r="AE10" i="4" s="1"/>
  <c r="AJ10" i="4"/>
  <c r="Q11" i="4"/>
  <c r="P11" i="4" s="1"/>
  <c r="R11" i="4" s="1"/>
  <c r="I12" i="4"/>
  <c r="Q12" i="4"/>
  <c r="P12" i="4" s="1"/>
  <c r="R12" i="4" s="1"/>
  <c r="AC12" i="4"/>
  <c r="AK12" i="4" s="1"/>
  <c r="I13" i="4"/>
  <c r="AI13" i="4" s="1"/>
  <c r="Q13" i="4"/>
  <c r="P13" i="4" s="1"/>
  <c r="R13" i="4" s="1"/>
  <c r="AC13" i="4"/>
  <c r="AK13" i="4" s="1"/>
  <c r="AL13" i="4" s="1"/>
  <c r="AD13" i="4"/>
  <c r="AJ13" i="4"/>
  <c r="I14" i="4"/>
  <c r="AI14" i="4" s="1"/>
  <c r="Q14" i="4"/>
  <c r="P14" i="4" s="1"/>
  <c r="R14" i="4" s="1"/>
  <c r="AC14" i="4"/>
  <c r="AE14" i="4" s="1"/>
  <c r="AD14" i="4"/>
  <c r="AJ14" i="4"/>
  <c r="I15" i="4"/>
  <c r="Q15" i="4"/>
  <c r="P15" i="4" s="1"/>
  <c r="R15" i="4" s="1"/>
  <c r="AC15" i="4"/>
  <c r="AE15" i="4" s="1"/>
  <c r="AD15" i="4"/>
  <c r="AI15" i="4"/>
  <c r="AJ15" i="4"/>
  <c r="I16" i="4"/>
  <c r="AI16" i="4" s="1"/>
  <c r="Q16" i="4"/>
  <c r="P16" i="4"/>
  <c r="R16" i="4" s="1"/>
  <c r="AC16" i="4"/>
  <c r="AK16" i="4" s="1"/>
  <c r="AD16" i="4"/>
  <c r="AJ16" i="4"/>
  <c r="I17" i="4"/>
  <c r="AI17" i="4" s="1"/>
  <c r="Q17" i="4"/>
  <c r="P17" i="4" s="1"/>
  <c r="R17" i="4" s="1"/>
  <c r="AC17" i="4"/>
  <c r="AK17" i="4" s="1"/>
  <c r="AL17" i="4" s="1"/>
  <c r="AD17" i="4"/>
  <c r="AE17" i="4"/>
  <c r="AJ17" i="4"/>
  <c r="I18" i="4"/>
  <c r="Q18" i="4"/>
  <c r="P18" i="4" s="1"/>
  <c r="R18" i="4" s="1"/>
  <c r="Z18" i="4"/>
  <c r="AC18" i="4"/>
  <c r="AE18" i="4" s="1"/>
  <c r="AD18" i="4"/>
  <c r="I24" i="4"/>
  <c r="I19" i="4"/>
  <c r="AI19" i="4" s="1"/>
  <c r="Q19" i="4"/>
  <c r="P19" i="4" s="1"/>
  <c r="R19" i="4" s="1"/>
  <c r="AC19" i="4"/>
  <c r="AE19" i="4" s="1"/>
  <c r="AD19" i="4"/>
  <c r="AJ19" i="4"/>
  <c r="I20" i="4"/>
  <c r="Q20" i="4"/>
  <c r="P20" i="4" s="1"/>
  <c r="R20" i="4" s="1"/>
  <c r="Z20" i="4"/>
  <c r="AC20" i="4"/>
  <c r="AE20" i="4" s="1"/>
  <c r="AD20" i="4"/>
  <c r="I21" i="4"/>
  <c r="I23" i="4"/>
  <c r="Q21" i="4"/>
  <c r="P21" i="4" s="1"/>
  <c r="R21" i="4" s="1"/>
  <c r="AC21" i="4"/>
  <c r="AK21" i="4" s="1"/>
  <c r="I22" i="4"/>
  <c r="Q22" i="4"/>
  <c r="P22" i="4" s="1"/>
  <c r="R22" i="4" s="1"/>
  <c r="Z22" i="4"/>
  <c r="AC22" i="4"/>
  <c r="AE22" i="4" s="1"/>
  <c r="AD22" i="4"/>
  <c r="I27" i="4"/>
  <c r="Q23" i="4"/>
  <c r="P23" i="4" s="1"/>
  <c r="R23" i="4" s="1"/>
  <c r="AC23" i="4"/>
  <c r="AK23" i="4" s="1"/>
  <c r="AL23" i="4" s="1"/>
  <c r="Q24" i="4"/>
  <c r="P24" i="4" s="1"/>
  <c r="R24" i="4" s="1"/>
  <c r="AC24" i="4"/>
  <c r="AK24" i="4" s="1"/>
  <c r="AL24" i="4" s="1"/>
  <c r="I25" i="4"/>
  <c r="AI25" i="4" s="1"/>
  <c r="Q25" i="4"/>
  <c r="P25" i="4"/>
  <c r="R25" i="4" s="1"/>
  <c r="AC25" i="4"/>
  <c r="AK25" i="4" s="1"/>
  <c r="AL25" i="4" s="1"/>
  <c r="AD25" i="4"/>
  <c r="I26" i="4"/>
  <c r="AI26" i="4" s="1"/>
  <c r="Q26" i="4"/>
  <c r="P26" i="4" s="1"/>
  <c r="R26" i="4" s="1"/>
  <c r="AC26" i="4"/>
  <c r="AK26" i="4" s="1"/>
  <c r="AD26" i="4"/>
  <c r="AJ26" i="4"/>
  <c r="Q27" i="4"/>
  <c r="P27" i="4" s="1"/>
  <c r="R27" i="4" s="1"/>
  <c r="AC27" i="4"/>
  <c r="AK27" i="4" s="1"/>
  <c r="AL27" i="4" s="1"/>
  <c r="AC28" i="4"/>
  <c r="AK28" i="4" s="1"/>
  <c r="I29" i="4"/>
  <c r="AI29" i="4" s="1"/>
  <c r="Q29" i="4"/>
  <c r="P29" i="4" s="1"/>
  <c r="R29" i="4" s="1"/>
  <c r="AC29" i="4"/>
  <c r="AK29" i="4" s="1"/>
  <c r="AL29" i="4" s="1"/>
  <c r="AD29" i="4"/>
  <c r="AE29" i="4"/>
  <c r="AJ29" i="4"/>
  <c r="Q30" i="4"/>
  <c r="P30" i="4" s="1"/>
  <c r="R30" i="4" s="1"/>
  <c r="I31" i="4"/>
  <c r="Q31" i="4"/>
  <c r="P31" i="4" s="1"/>
  <c r="R31" i="4" s="1"/>
  <c r="Z31" i="4"/>
  <c r="AC31" i="4"/>
  <c r="AE31" i="4" s="1"/>
  <c r="AD31" i="4"/>
  <c r="I34" i="4"/>
  <c r="I32" i="4"/>
  <c r="AI32" i="4" s="1"/>
  <c r="Q32" i="4"/>
  <c r="P32" i="4" s="1"/>
  <c r="R32" i="4" s="1"/>
  <c r="I33" i="4"/>
  <c r="AI33" i="4" s="1"/>
  <c r="Q33" i="4"/>
  <c r="P33" i="4" s="1"/>
  <c r="R33" i="4" s="1"/>
  <c r="Q34" i="4"/>
  <c r="P34" i="4" s="1"/>
  <c r="R34" i="4" s="1"/>
  <c r="AC34" i="4"/>
  <c r="AK34" i="4" s="1"/>
  <c r="Q35" i="4"/>
  <c r="P35" i="4" s="1"/>
  <c r="R35" i="4" s="1"/>
  <c r="AD30" i="4"/>
  <c r="I36" i="4"/>
  <c r="AI36" i="4" s="1"/>
  <c r="Q36" i="4"/>
  <c r="P36" i="4" s="1"/>
  <c r="R36" i="4" s="1"/>
  <c r="AC36" i="4"/>
  <c r="AK36" i="4" s="1"/>
  <c r="AD36" i="4"/>
  <c r="AJ36" i="4"/>
  <c r="I37" i="4"/>
  <c r="AI37" i="4" s="1"/>
  <c r="Q37" i="4"/>
  <c r="P37" i="4" s="1"/>
  <c r="R37" i="4" s="1"/>
  <c r="AC37" i="4"/>
  <c r="AK37" i="4" s="1"/>
  <c r="AL37" i="4" s="1"/>
  <c r="AD37" i="4"/>
  <c r="AJ37" i="4"/>
  <c r="F38" i="4"/>
  <c r="G38" i="4"/>
  <c r="H38" i="4"/>
  <c r="U38" i="4"/>
  <c r="U41" i="4" s="1"/>
  <c r="V38" i="4"/>
  <c r="V41" i="4" s="1"/>
  <c r="W38" i="4"/>
  <c r="W41" i="4" s="1"/>
  <c r="X38" i="4"/>
  <c r="AH38" i="4"/>
  <c r="AH41" i="4" s="1"/>
  <c r="X41" i="4"/>
  <c r="Y41" i="4"/>
  <c r="F48" i="4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I7" i="1"/>
  <c r="I5" i="1"/>
  <c r="I4" i="1"/>
  <c r="I3" i="1"/>
  <c r="I2" i="1"/>
  <c r="I38" i="1" s="1"/>
  <c r="F48" i="1"/>
  <c r="B48" i="1"/>
  <c r="L38" i="1"/>
  <c r="H38" i="1"/>
  <c r="J38" i="1"/>
  <c r="G38" i="1"/>
  <c r="F38" i="1"/>
  <c r="E38" i="1"/>
  <c r="D38" i="1"/>
  <c r="C38" i="1"/>
  <c r="AE37" i="4" l="1"/>
  <c r="AE25" i="4"/>
  <c r="AE5" i="4"/>
  <c r="AE4" i="4"/>
  <c r="AL32" i="4"/>
  <c r="AK3" i="4"/>
  <c r="AK19" i="4"/>
  <c r="AK31" i="4"/>
  <c r="AL31" i="4" s="1"/>
  <c r="AK9" i="4"/>
  <c r="AE36" i="4"/>
  <c r="AI31" i="4"/>
  <c r="AE26" i="4"/>
  <c r="AE13" i="4"/>
  <c r="N38" i="1"/>
  <c r="Z38" i="4"/>
  <c r="Z41" i="4" s="1"/>
  <c r="Z42" i="4" s="1"/>
  <c r="AK33" i="4"/>
  <c r="AL33" i="4" s="1"/>
  <c r="AI22" i="4"/>
  <c r="AI20" i="4"/>
  <c r="AE16" i="4"/>
  <c r="AI30" i="4"/>
  <c r="AK6" i="4"/>
  <c r="AL6" i="4" s="1"/>
  <c r="AK14" i="4"/>
  <c r="AL14" i="4" s="1"/>
  <c r="AK18" i="4"/>
  <c r="AL18" i="4" s="1"/>
  <c r="AK22" i="4"/>
  <c r="AL22" i="4" s="1"/>
  <c r="AK30" i="4"/>
  <c r="AL30" i="4" s="1"/>
  <c r="AL26" i="4"/>
  <c r="AE32" i="4"/>
  <c r="AK11" i="4"/>
  <c r="AL11" i="4" s="1"/>
  <c r="AK15" i="4"/>
  <c r="AL15" i="4" s="1"/>
  <c r="AL21" i="4"/>
  <c r="AL19" i="4"/>
  <c r="AI18" i="4"/>
  <c r="O38" i="1"/>
  <c r="O39" i="1" s="1"/>
  <c r="AK8" i="4"/>
  <c r="AL8" i="4" s="1"/>
  <c r="AK20" i="4"/>
  <c r="AL20" i="4" s="1"/>
  <c r="AL16" i="4"/>
  <c r="AL36" i="4"/>
  <c r="AL34" i="4"/>
  <c r="AL12" i="4"/>
  <c r="AL3" i="4"/>
  <c r="AL35" i="4"/>
  <c r="AL28" i="4"/>
  <c r="AJ12" i="4"/>
  <c r="AJ38" i="4" s="1"/>
  <c r="Q28" i="4"/>
  <c r="P28" i="4" s="1"/>
  <c r="R28" i="4" s="1"/>
  <c r="AD12" i="4"/>
  <c r="AD38" i="4" s="1"/>
  <c r="AE12" i="4"/>
  <c r="O28" i="4"/>
  <c r="O29" i="4" s="1"/>
  <c r="O30" i="4" s="1"/>
  <c r="O31" i="4" s="1"/>
  <c r="O32" i="4" s="1"/>
  <c r="O33" i="4" s="1"/>
  <c r="O34" i="4" s="1"/>
  <c r="O35" i="4" s="1"/>
  <c r="O36" i="4" s="1"/>
  <c r="O37" i="4" s="1"/>
  <c r="J38" i="4"/>
  <c r="AD40" i="4" s="1"/>
  <c r="AE40" i="4" s="1"/>
  <c r="N28" i="4"/>
  <c r="N29" i="4" s="1"/>
  <c r="N30" i="4" s="1"/>
  <c r="N31" i="4" s="1"/>
  <c r="N32" i="4" s="1"/>
  <c r="N33" i="4" s="1"/>
  <c r="N34" i="4" s="1"/>
  <c r="N35" i="4" s="1"/>
  <c r="N36" i="4" s="1"/>
  <c r="N37" i="4" s="1"/>
  <c r="I28" i="4"/>
  <c r="I38" i="4" s="1"/>
  <c r="AI40" i="4" s="1"/>
  <c r="AE38" i="4"/>
  <c r="R2" i="4"/>
  <c r="AC38" i="4"/>
  <c r="AC41" i="4" s="1"/>
  <c r="P4" i="4"/>
  <c r="R4" i="4" s="1"/>
  <c r="AJ40" i="4"/>
  <c r="AL9" i="4"/>
  <c r="AL5" i="4"/>
  <c r="AK2" i="4"/>
  <c r="AD41" i="4" l="1"/>
  <c r="AK38" i="4"/>
  <c r="AK41" i="4" s="1"/>
  <c r="AE41" i="4"/>
  <c r="AJ41" i="4"/>
  <c r="Q38" i="4"/>
  <c r="R38" i="4"/>
  <c r="AI12" i="4"/>
  <c r="AI38" i="4" s="1"/>
  <c r="AI41" i="4" s="1"/>
  <c r="AL2" i="4"/>
  <c r="AL38" i="4" s="1"/>
  <c r="P38" i="4"/>
  <c r="AL41" i="4" l="1"/>
  <c r="AL42" i="4" l="1"/>
  <c r="AL50" i="4"/>
  <c r="AL51" i="4" s="1"/>
</calcChain>
</file>

<file path=xl/sharedStrings.xml><?xml version="1.0" encoding="utf-8"?>
<sst xmlns="http://schemas.openxmlformats.org/spreadsheetml/2006/main" count="221" uniqueCount="69">
  <si>
    <t>6"-9"</t>
  </si>
  <si>
    <t>10"-14"</t>
  </si>
  <si>
    <t>15"-20"</t>
  </si>
  <si>
    <t>21"-26"</t>
  </si>
  <si>
    <t>27"-26"</t>
  </si>
  <si>
    <t>37"-48"</t>
  </si>
  <si>
    <t>0A</t>
  </si>
  <si>
    <t>32A</t>
  </si>
  <si>
    <t>18A</t>
  </si>
  <si>
    <t>23A</t>
  </si>
  <si>
    <t>35A</t>
  </si>
  <si>
    <t>#1</t>
  </si>
  <si>
    <t>#2</t>
  </si>
  <si>
    <t>#3A</t>
  </si>
  <si>
    <t>#3B</t>
  </si>
  <si>
    <t>#4A</t>
  </si>
  <si>
    <t>#4B</t>
  </si>
  <si>
    <t>#5</t>
  </si>
  <si>
    <t>Magnum #</t>
  </si>
  <si>
    <t>39A</t>
  </si>
  <si>
    <t>34A</t>
  </si>
  <si>
    <t>Invoices</t>
  </si>
  <si>
    <t>Total:</t>
  </si>
  <si>
    <t>Quantity</t>
  </si>
  <si>
    <t>Unit Price</t>
  </si>
  <si>
    <t>Total cost</t>
  </si>
  <si>
    <t>Area</t>
  </si>
  <si>
    <t>Venetian Isles</t>
  </si>
  <si>
    <t>Structures</t>
  </si>
  <si>
    <t>Pipe (LF)</t>
  </si>
  <si>
    <t>Invoice</t>
  </si>
  <si>
    <t>Call ID</t>
  </si>
  <si>
    <t>Lines</t>
  </si>
  <si>
    <t>Total LF Cleaned</t>
  </si>
  <si>
    <t>Eligible Pipe Cleaning</t>
  </si>
  <si>
    <t>Count of Pipe Cleaned w/ No Pipe Size Costs</t>
  </si>
  <si>
    <t>Count of Total Manhole / CB Cleaned</t>
  </si>
  <si>
    <t>Eligible Pipe Cleaning w/ No Costs</t>
  </si>
  <si>
    <t>Invoiced Costs</t>
  </si>
  <si>
    <t>Delta Invoiced / PW</t>
  </si>
  <si>
    <t>Total PW Cost</t>
  </si>
  <si>
    <t>Pipe Cleaning Cost (*)</t>
  </si>
  <si>
    <t>* NEED FEMA BREAKDOWN OF PIPE SIZES</t>
  </si>
  <si>
    <t>Magnum # CB</t>
  </si>
  <si>
    <t>Magnum # Pipe</t>
  </si>
  <si>
    <t>Pipe ($)</t>
  </si>
  <si>
    <t>Structures ($)</t>
  </si>
  <si>
    <t>pipe</t>
  </si>
  <si>
    <t>structures</t>
  </si>
  <si>
    <t>Manhole / CB Cost</t>
  </si>
  <si>
    <t>River Parish Disposal</t>
  </si>
  <si>
    <t xml:space="preserve">Amount </t>
  </si>
  <si>
    <t>2AX00369</t>
  </si>
  <si>
    <t>2B102368</t>
  </si>
  <si>
    <t>31G00007</t>
  </si>
  <si>
    <t>2CX01213</t>
  </si>
  <si>
    <t>TOTAL</t>
  </si>
  <si>
    <t>10/31/2012 (*)</t>
  </si>
  <si>
    <t>(*) Period ending date; Invoice number cut off</t>
  </si>
  <si>
    <t>15A</t>
  </si>
  <si>
    <t>42A</t>
  </si>
  <si>
    <t>#4A (credit memo)</t>
  </si>
  <si>
    <t>#4A &amp; 4A (credit memo)</t>
  </si>
  <si>
    <t>FEMA Ineligble Expenses</t>
  </si>
  <si>
    <t>Venetian Isles(FEMA Non-Eligible Area)</t>
  </si>
  <si>
    <t>Total CDBG Funded for Catch Basins</t>
  </si>
  <si>
    <t>Total Project Expenses</t>
  </si>
  <si>
    <t>25% CDBG Match**</t>
  </si>
  <si>
    <t>**($5,256,431.31 x 0.25)-$451.61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</si>
</sst>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10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44" fontId="2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wrapText="1"/>
    </xf>
    <xf numFmtId="44" fontId="0" fillId="0" borderId="0" xfId="0" applyNumberFormat="1"/>
    <xf numFmtId="44" fontId="0" fillId="0" borderId="0" xfId="0" applyNumberFormat="1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37" fontId="0" fillId="0" borderId="0" xfId="0" applyNumberFormat="1" applyAlignment="1">
      <alignment horizontal="center"/>
    </xf>
    <xf numFmtId="37" fontId="0" fillId="0" borderId="3" xfId="0" applyNumberForma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37" fontId="4" fillId="2" borderId="0" xfId="0" applyNumberFormat="1" applyFont="1" applyFill="1" applyAlignment="1">
      <alignment horizontal="center"/>
    </xf>
    <xf numFmtId="37" fontId="1" fillId="0" borderId="0" xfId="0" applyNumberFormat="1" applyFont="1" applyAlignment="1">
      <alignment horizontal="center"/>
    </xf>
    <xf numFmtId="37" fontId="5" fillId="0" borderId="0" xfId="0" applyNumberFormat="1" applyFont="1" applyFill="1" applyAlignment="1">
      <alignment horizontal="center"/>
    </xf>
    <xf numFmtId="44" fontId="4" fillId="2" borderId="0" xfId="0" applyNumberFormat="1" applyFont="1" applyFill="1" applyAlignment="1">
      <alignment horizontal="center"/>
    </xf>
    <xf numFmtId="44" fontId="5" fillId="0" borderId="0" xfId="0" applyNumberFormat="1" applyFont="1" applyFill="1" applyAlignment="1">
      <alignment horizontal="center"/>
    </xf>
    <xf numFmtId="44" fontId="0" fillId="0" borderId="3" xfId="0" applyNumberFormat="1" applyBorder="1"/>
    <xf numFmtId="44" fontId="0" fillId="0" borderId="3" xfId="0" applyNumberFormat="1" applyFont="1" applyBorder="1" applyAlignment="1">
      <alignment horizontal="center"/>
    </xf>
    <xf numFmtId="44" fontId="5" fillId="0" borderId="3" xfId="0" applyNumberFormat="1" applyFont="1" applyFill="1" applyBorder="1" applyAlignment="1">
      <alignment horizontal="center"/>
    </xf>
    <xf numFmtId="44" fontId="6" fillId="0" borderId="0" xfId="0" applyNumberFormat="1" applyFont="1" applyFill="1" applyAlignment="1">
      <alignment horizontal="center"/>
    </xf>
    <xf numFmtId="44" fontId="1" fillId="0" borderId="0" xfId="0" applyNumberFormat="1" applyFont="1"/>
    <xf numFmtId="44" fontId="1" fillId="0" borderId="0" xfId="0" applyNumberFormat="1" applyFont="1" applyAlignment="1"/>
    <xf numFmtId="44" fontId="4" fillId="2" borderId="0" xfId="0" applyNumberFormat="1" applyFont="1" applyFill="1"/>
    <xf numFmtId="37" fontId="4" fillId="2" borderId="3" xfId="0" applyNumberFormat="1" applyFont="1" applyFill="1" applyBorder="1" applyAlignment="1">
      <alignment horizontal="center"/>
    </xf>
    <xf numFmtId="44" fontId="4" fillId="2" borderId="3" xfId="0" applyNumberFormat="1" applyFont="1" applyFill="1" applyBorder="1"/>
    <xf numFmtId="44" fontId="6" fillId="0" borderId="0" xfId="0" applyNumberFormat="1" applyFont="1" applyFill="1"/>
    <xf numFmtId="44" fontId="0" fillId="0" borderId="4" xfId="0" applyNumberFormat="1" applyFont="1" applyBorder="1" applyAlignment="1">
      <alignment horizontal="center"/>
    </xf>
    <xf numFmtId="44" fontId="0" fillId="0" borderId="0" xfId="0" applyNumberFormat="1" applyFill="1" applyAlignment="1">
      <alignment horizontal="center"/>
    </xf>
    <xf numFmtId="44" fontId="0" fillId="0" borderId="3" xfId="0" applyNumberForma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Fill="1"/>
    <xf numFmtId="37" fontId="4" fillId="0" borderId="0" xfId="0" applyNumberFormat="1" applyFont="1" applyFill="1" applyAlignment="1">
      <alignment horizontal="center"/>
    </xf>
    <xf numFmtId="44" fontId="5" fillId="3" borderId="0" xfId="0" applyNumberFormat="1" applyFont="1" applyFill="1" applyAlignment="1">
      <alignment horizontal="center"/>
    </xf>
    <xf numFmtId="37" fontId="5" fillId="3" borderId="0" xfId="0" applyNumberFormat="1" applyFont="1" applyFill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4" fontId="5" fillId="3" borderId="0" xfId="0" applyNumberFormat="1" applyFont="1" applyFill="1"/>
    <xf numFmtId="0" fontId="3" fillId="2" borderId="0" xfId="0" applyFont="1" applyFill="1" applyAlignment="1">
      <alignment horizontal="center"/>
    </xf>
    <xf numFmtId="37" fontId="4" fillId="2" borderId="0" xfId="0" applyNumberFormat="1" applyFont="1" applyFill="1" applyAlignment="1">
      <alignment horizontal="center"/>
    </xf>
    <xf numFmtId="37" fontId="0" fillId="0" borderId="0" xfId="0" applyNumberFormat="1"/>
    <xf numFmtId="44" fontId="5" fillId="0" borderId="0" xfId="0" applyNumberFormat="1" applyFont="1" applyFill="1"/>
    <xf numFmtId="44" fontId="9" fillId="0" borderId="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44" fontId="5" fillId="4" borderId="0" xfId="0" applyNumberFormat="1" applyFont="1" applyFill="1"/>
    <xf numFmtId="44" fontId="5" fillId="4" borderId="0" xfId="0" applyNumberFormat="1" applyFont="1" applyFill="1" applyAlignment="1">
      <alignment horizontal="center"/>
    </xf>
    <xf numFmtId="44" fontId="0" fillId="0" borderId="5" xfId="0" applyNumberFormat="1" applyBorder="1"/>
    <xf numFmtId="0" fontId="0" fillId="0" borderId="5" xfId="0" applyBorder="1"/>
    <xf numFmtId="44" fontId="11" fillId="0" borderId="6" xfId="0" applyNumberFormat="1" applyFont="1" applyBorder="1"/>
    <xf numFmtId="44" fontId="11" fillId="5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4.4" x14ac:dyDescent="0.3"/>
  <cols>
    <col min="1" max="1" width="16.6640625" style="2" hidden="1" customWidth="1"/>
    <col min="2" max="2" width="15.6640625" style="2" customWidth="1"/>
    <col min="3" max="3" width="15.5546875" style="6" hidden="1" customWidth="1"/>
    <col min="4" max="4" width="13.44140625" style="6" hidden="1" customWidth="1"/>
    <col min="5" max="5" width="10.109375" style="6" hidden="1" customWidth="1"/>
    <col min="6" max="7" width="15.88671875" style="6" hidden="1" customWidth="1"/>
    <col min="8" max="8" width="0" style="6" hidden="1" customWidth="1"/>
    <col min="9" max="10" width="10.109375" style="6" hidden="1" customWidth="1"/>
    <col min="11" max="11" width="0" hidden="1" customWidth="1"/>
    <col min="12" max="12" width="15.88671875" style="9" hidden="1" customWidth="1"/>
    <col min="13" max="13" width="23.44140625" style="6" customWidth="1"/>
    <col min="14" max="14" width="10.5546875" style="6" hidden="1" customWidth="1"/>
    <col min="15" max="15" width="10.109375" style="6" hidden="1" customWidth="1"/>
    <col min="16" max="18" width="15.88671875" style="9" hidden="1" customWidth="1"/>
    <col min="19" max="19" width="13.44140625" hidden="1" customWidth="1"/>
    <col min="20" max="20" width="15.6640625" style="2" hidden="1" customWidth="1"/>
    <col min="21" max="25" width="12.6640625" hidden="1" customWidth="1"/>
    <col min="26" max="26" width="15.88671875" style="9" customWidth="1"/>
    <col min="27" max="27" width="12.6640625" customWidth="1"/>
    <col min="28" max="28" width="15.6640625" customWidth="1"/>
    <col min="29" max="29" width="15.6640625" hidden="1" customWidth="1"/>
    <col min="30" max="30" width="12.6640625" hidden="1" customWidth="1"/>
    <col min="31" max="31" width="15.6640625" hidden="1" customWidth="1"/>
    <col min="32" max="32" width="0" hidden="1" customWidth="1"/>
    <col min="33" max="33" width="15" hidden="1" customWidth="1"/>
    <col min="34" max="34" width="15.6640625" hidden="1" customWidth="1"/>
    <col min="35" max="35" width="12.6640625" hidden="1" customWidth="1"/>
    <col min="36" max="36" width="15.6640625" hidden="1" customWidth="1"/>
    <col min="37" max="37" width="23.33203125" customWidth="1"/>
    <col min="38" max="38" width="15.6640625" customWidth="1"/>
    <col min="39" max="39" width="14.33203125" customWidth="1"/>
    <col min="40" max="40" width="13.44140625" bestFit="1" customWidth="1"/>
    <col min="41" max="41" width="16" customWidth="1"/>
  </cols>
  <sheetData>
    <row r="1" spans="1:41" ht="60" x14ac:dyDescent="0.25">
      <c r="A1" s="1" t="s">
        <v>31</v>
      </c>
      <c r="B1" s="1" t="s">
        <v>26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32</v>
      </c>
      <c r="J1" s="3" t="s">
        <v>28</v>
      </c>
      <c r="L1" s="7" t="s">
        <v>18</v>
      </c>
      <c r="M1" s="4" t="s">
        <v>30</v>
      </c>
      <c r="N1" s="3" t="s">
        <v>29</v>
      </c>
      <c r="O1" s="3" t="s">
        <v>28</v>
      </c>
      <c r="P1" s="7" t="s">
        <v>44</v>
      </c>
      <c r="Q1" s="7" t="s">
        <v>43</v>
      </c>
      <c r="R1" s="7" t="s">
        <v>18</v>
      </c>
      <c r="T1" s="1" t="s">
        <v>31</v>
      </c>
      <c r="U1" s="29" t="s">
        <v>33</v>
      </c>
      <c r="V1" s="29" t="s">
        <v>37</v>
      </c>
      <c r="W1" s="29" t="s">
        <v>34</v>
      </c>
      <c r="X1" s="29" t="s">
        <v>35</v>
      </c>
      <c r="Y1" s="29" t="s">
        <v>36</v>
      </c>
      <c r="Z1" s="33" t="s">
        <v>38</v>
      </c>
      <c r="AB1" s="1" t="s">
        <v>31</v>
      </c>
      <c r="AC1" s="34" t="s">
        <v>49</v>
      </c>
      <c r="AD1" s="29" t="s">
        <v>39</v>
      </c>
      <c r="AE1" s="29" t="s">
        <v>39</v>
      </c>
      <c r="AG1" s="1" t="s">
        <v>31</v>
      </c>
      <c r="AH1" s="34" t="s">
        <v>41</v>
      </c>
      <c r="AI1" s="29" t="s">
        <v>39</v>
      </c>
      <c r="AJ1" s="29" t="s">
        <v>39</v>
      </c>
      <c r="AK1" s="34" t="s">
        <v>40</v>
      </c>
      <c r="AL1" s="29" t="s">
        <v>39</v>
      </c>
      <c r="AM1" s="1" t="s">
        <v>31</v>
      </c>
    </row>
    <row r="2" spans="1:41" ht="15" x14ac:dyDescent="0.25">
      <c r="A2" s="3" t="s">
        <v>27</v>
      </c>
      <c r="B2" s="3" t="s">
        <v>27</v>
      </c>
      <c r="C2" s="10">
        <v>0</v>
      </c>
      <c r="D2" s="10">
        <v>9808</v>
      </c>
      <c r="E2" s="10">
        <v>0</v>
      </c>
      <c r="F2" s="10">
        <v>0</v>
      </c>
      <c r="G2" s="10">
        <v>0</v>
      </c>
      <c r="H2" s="10">
        <v>0</v>
      </c>
      <c r="I2" s="10">
        <f>SUM(C2:H2)</f>
        <v>9808</v>
      </c>
      <c r="J2" s="10">
        <v>100</v>
      </c>
      <c r="L2" s="14">
        <v>35617.760000000002</v>
      </c>
      <c r="M2" s="5" t="s">
        <v>11</v>
      </c>
      <c r="N2" s="8">
        <f>SUM(C2:H2)</f>
        <v>9808</v>
      </c>
      <c r="O2" s="8">
        <f>J2</f>
        <v>100</v>
      </c>
      <c r="P2" s="31">
        <f t="shared" ref="P2:P37" si="0">L2-Q2</f>
        <v>16869.760000000002</v>
      </c>
      <c r="Q2" s="31">
        <f t="shared" ref="Q2:Q37" si="1">J2*187.48</f>
        <v>18748</v>
      </c>
      <c r="R2" s="31">
        <f t="shared" ref="R2:R37" si="2">P2+Q2</f>
        <v>35617.760000000002</v>
      </c>
      <c r="T2" s="3" t="s">
        <v>27</v>
      </c>
      <c r="U2" s="61">
        <v>0</v>
      </c>
      <c r="V2" s="61">
        <v>0</v>
      </c>
      <c r="W2" s="61">
        <v>0</v>
      </c>
      <c r="X2" s="62">
        <v>0</v>
      </c>
      <c r="Y2" s="60">
        <v>0</v>
      </c>
      <c r="Z2" s="31">
        <v>35617.760000000002</v>
      </c>
      <c r="AB2" s="3" t="s">
        <v>27</v>
      </c>
      <c r="AC2" s="59">
        <f t="shared" ref="AC2:AC37" si="3">Y2*187.48</f>
        <v>0</v>
      </c>
      <c r="AD2" s="60">
        <f>J2-Y2</f>
        <v>100</v>
      </c>
      <c r="AE2" s="59">
        <f>(J2*187.48)-AC2</f>
        <v>18748</v>
      </c>
      <c r="AG2" s="3" t="s">
        <v>27</v>
      </c>
      <c r="AH2" s="59">
        <v>0</v>
      </c>
      <c r="AI2" s="60">
        <f>I2-W2</f>
        <v>9808</v>
      </c>
      <c r="AJ2" s="63">
        <f>L2-(J2*187.48)-AH2</f>
        <v>16869.760000000002</v>
      </c>
      <c r="AK2" s="59">
        <f t="shared" ref="AK2:AK37" si="4">AC2+AH2</f>
        <v>0</v>
      </c>
      <c r="AL2" s="63">
        <f t="shared" ref="AL2:AL37" si="5">Z2-AK2</f>
        <v>35617.760000000002</v>
      </c>
      <c r="AM2" s="3" t="s">
        <v>27</v>
      </c>
      <c r="AO2" s="30"/>
    </row>
    <row r="3" spans="1:41" ht="15" x14ac:dyDescent="0.25">
      <c r="A3" s="3">
        <v>7</v>
      </c>
      <c r="B3" s="3">
        <v>6</v>
      </c>
      <c r="C3" s="10">
        <v>4834</v>
      </c>
      <c r="D3" s="10">
        <v>48699</v>
      </c>
      <c r="E3" s="10">
        <v>12430</v>
      </c>
      <c r="F3" s="10">
        <v>10981</v>
      </c>
      <c r="G3" s="10">
        <v>2499</v>
      </c>
      <c r="H3" s="10">
        <v>49</v>
      </c>
      <c r="I3" s="10">
        <f>SUM(C3:H3)</f>
        <v>79492</v>
      </c>
      <c r="J3" s="10">
        <v>1086</v>
      </c>
      <c r="L3" s="14">
        <v>357781.11</v>
      </c>
      <c r="M3" s="5" t="s">
        <v>12</v>
      </c>
      <c r="N3" s="8">
        <f>N2+SUM(C3:H3)</f>
        <v>89300</v>
      </c>
      <c r="O3" s="8">
        <f>O2+J3</f>
        <v>1186</v>
      </c>
      <c r="P3" s="31">
        <f t="shared" si="0"/>
        <v>154177.82999999999</v>
      </c>
      <c r="Q3" s="31">
        <f t="shared" si="1"/>
        <v>203603.28</v>
      </c>
      <c r="R3" s="31">
        <f t="shared" si="2"/>
        <v>357781.11</v>
      </c>
      <c r="T3" s="3">
        <v>7</v>
      </c>
      <c r="U3" s="24">
        <v>78556.600000000006</v>
      </c>
      <c r="V3" s="24">
        <v>1639</v>
      </c>
      <c r="W3" s="24">
        <v>76918</v>
      </c>
      <c r="X3" s="6">
        <v>10</v>
      </c>
      <c r="Y3" s="35">
        <v>1178</v>
      </c>
      <c r="Z3" s="31">
        <v>357781.11</v>
      </c>
      <c r="AB3" s="3">
        <v>7</v>
      </c>
      <c r="AC3" s="16">
        <f t="shared" si="3"/>
        <v>220851.44</v>
      </c>
      <c r="AD3" s="38">
        <f>J3-Y3</f>
        <v>-92</v>
      </c>
      <c r="AE3" s="41">
        <f>(J3*187.48)-AC3</f>
        <v>-17248.160000000003</v>
      </c>
      <c r="AG3" s="3">
        <v>7</v>
      </c>
      <c r="AH3" s="42">
        <v>137843.57</v>
      </c>
      <c r="AI3" s="40">
        <f>I3-W3</f>
        <v>2574</v>
      </c>
      <c r="AJ3" s="30">
        <f>L3-(J3*187.48)-AH3</f>
        <v>16334.25999999998</v>
      </c>
      <c r="AK3" s="42">
        <f t="shared" si="4"/>
        <v>358695.01</v>
      </c>
      <c r="AL3" s="30">
        <f t="shared" si="5"/>
        <v>-913.90000000002328</v>
      </c>
      <c r="AM3" s="3">
        <v>7</v>
      </c>
      <c r="AO3" s="30"/>
    </row>
    <row r="4" spans="1:41" ht="15" x14ac:dyDescent="0.25">
      <c r="A4" s="3">
        <v>5</v>
      </c>
      <c r="B4" s="3">
        <v>4</v>
      </c>
      <c r="C4" s="10">
        <v>2634</v>
      </c>
      <c r="D4" s="10">
        <v>34247</v>
      </c>
      <c r="E4" s="10">
        <v>9944</v>
      </c>
      <c r="F4" s="10">
        <v>7595</v>
      </c>
      <c r="G4" s="10">
        <v>2322</v>
      </c>
      <c r="H4" s="10">
        <v>0</v>
      </c>
      <c r="I4" s="10">
        <f>SUM(C4:H4)</f>
        <v>56742</v>
      </c>
      <c r="J4" s="10">
        <v>649</v>
      </c>
      <c r="L4" s="15">
        <v>232724.42</v>
      </c>
      <c r="M4" s="6" t="s">
        <v>13</v>
      </c>
      <c r="N4" s="8">
        <f>N3+SUM(C4:H4)</f>
        <v>146042</v>
      </c>
      <c r="O4" s="8">
        <f>O3+J4</f>
        <v>1835</v>
      </c>
      <c r="P4" s="31">
        <f t="shared" si="0"/>
        <v>111049.90000000002</v>
      </c>
      <c r="Q4" s="31">
        <f t="shared" si="1"/>
        <v>121674.51999999999</v>
      </c>
      <c r="R4" s="31">
        <f t="shared" si="2"/>
        <v>232724.42</v>
      </c>
      <c r="T4" s="3">
        <v>5</v>
      </c>
      <c r="U4" s="24">
        <v>53653</v>
      </c>
      <c r="V4" s="24">
        <v>3974</v>
      </c>
      <c r="W4" s="24">
        <v>49679</v>
      </c>
      <c r="X4" s="6">
        <v>54</v>
      </c>
      <c r="Y4" s="35">
        <v>589</v>
      </c>
      <c r="Z4" s="31">
        <v>232724.42</v>
      </c>
      <c r="AB4" s="3">
        <v>5</v>
      </c>
      <c r="AC4" s="16">
        <f t="shared" si="3"/>
        <v>110425.72</v>
      </c>
      <c r="AD4" s="35">
        <f>J4-Y4</f>
        <v>60</v>
      </c>
      <c r="AE4" s="42">
        <f>(J4*187.48)-AC4</f>
        <v>11248.799999999988</v>
      </c>
      <c r="AG4" s="3">
        <v>5</v>
      </c>
      <c r="AH4" s="42">
        <v>97532.72</v>
      </c>
      <c r="AI4" s="35">
        <f>I4-W4</f>
        <v>7063</v>
      </c>
      <c r="AJ4" s="30">
        <f>L4-(J4*187.48)-AH4</f>
        <v>13517.180000000022</v>
      </c>
      <c r="AK4" s="42">
        <f t="shared" si="4"/>
        <v>207958.44</v>
      </c>
      <c r="AL4" s="30">
        <f t="shared" si="5"/>
        <v>24765.98000000001</v>
      </c>
      <c r="AM4" s="3">
        <v>5</v>
      </c>
      <c r="AO4" s="30"/>
    </row>
    <row r="5" spans="1:41" ht="15" x14ac:dyDescent="0.25">
      <c r="A5" s="3">
        <v>42</v>
      </c>
      <c r="B5" s="3">
        <v>30</v>
      </c>
      <c r="C5" s="10">
        <v>982</v>
      </c>
      <c r="D5" s="10">
        <v>76368</v>
      </c>
      <c r="E5" s="10">
        <v>40598</v>
      </c>
      <c r="F5" s="10">
        <v>22147</v>
      </c>
      <c r="G5" s="10">
        <v>7975</v>
      </c>
      <c r="H5" s="10">
        <v>30</v>
      </c>
      <c r="I5" s="10">
        <f>SUM(C5:H5)</f>
        <v>148100</v>
      </c>
      <c r="J5" s="10">
        <v>1698</v>
      </c>
      <c r="L5" s="15">
        <v>618269.51</v>
      </c>
      <c r="M5" s="6" t="s">
        <v>13</v>
      </c>
      <c r="N5" s="8">
        <f>N4+SUM(C5:H5)</f>
        <v>294142</v>
      </c>
      <c r="O5" s="8">
        <f>O4+J5</f>
        <v>3533</v>
      </c>
      <c r="P5" s="31">
        <f t="shared" si="0"/>
        <v>299928.47000000003</v>
      </c>
      <c r="Q5" s="31">
        <f t="shared" si="1"/>
        <v>318341.03999999998</v>
      </c>
      <c r="R5" s="31">
        <f t="shared" si="2"/>
        <v>618269.51</v>
      </c>
      <c r="T5" s="3">
        <v>42</v>
      </c>
      <c r="U5" s="24">
        <v>126840</v>
      </c>
      <c r="V5" s="24">
        <v>1620</v>
      </c>
      <c r="W5" s="24">
        <v>125220</v>
      </c>
      <c r="X5" s="6">
        <v>29</v>
      </c>
      <c r="Y5" s="35">
        <v>1486</v>
      </c>
      <c r="Z5" s="31">
        <v>618269.51</v>
      </c>
      <c r="AB5" s="3">
        <v>42</v>
      </c>
      <c r="AC5" s="16">
        <f t="shared" si="3"/>
        <v>278595.27999999997</v>
      </c>
      <c r="AD5" s="35">
        <f>J5-Y5-Y6</f>
        <v>134</v>
      </c>
      <c r="AE5" s="42">
        <f>(J5*187.48)-AC5-AC6</f>
        <v>25122.320000000011</v>
      </c>
      <c r="AG5" s="3">
        <v>42</v>
      </c>
      <c r="AH5" s="42">
        <v>239677.34</v>
      </c>
      <c r="AI5" s="35">
        <f>I5-W5-W6</f>
        <v>19830</v>
      </c>
      <c r="AJ5" s="30">
        <f>L5-(J5*187.48)-AH5-AH6</f>
        <v>53539.570000000036</v>
      </c>
      <c r="AK5" s="42">
        <f t="shared" si="4"/>
        <v>518272.62</v>
      </c>
      <c r="AL5" s="30">
        <f t="shared" si="5"/>
        <v>99996.890000000014</v>
      </c>
      <c r="AM5" s="3">
        <v>42</v>
      </c>
      <c r="AO5" s="30"/>
    </row>
    <row r="6" spans="1:41" ht="15" x14ac:dyDescent="0.25">
      <c r="A6" s="3"/>
      <c r="B6" s="3"/>
      <c r="C6" s="10"/>
      <c r="D6" s="10"/>
      <c r="E6" s="10"/>
      <c r="F6" s="10"/>
      <c r="G6" s="10"/>
      <c r="H6" s="10"/>
      <c r="I6" s="10"/>
      <c r="J6" s="10"/>
      <c r="L6" s="15"/>
      <c r="N6" s="8"/>
      <c r="O6" s="8"/>
      <c r="P6" s="31">
        <f t="shared" si="0"/>
        <v>0</v>
      </c>
      <c r="Q6" s="31">
        <f t="shared" si="1"/>
        <v>0</v>
      </c>
      <c r="R6" s="31">
        <f t="shared" si="2"/>
        <v>0</v>
      </c>
      <c r="T6" s="64" t="s">
        <v>60</v>
      </c>
      <c r="U6" s="24">
        <v>4853</v>
      </c>
      <c r="V6" s="24">
        <v>1803</v>
      </c>
      <c r="W6" s="24">
        <v>3050</v>
      </c>
      <c r="X6" s="6">
        <v>43</v>
      </c>
      <c r="Y6" s="35">
        <v>78</v>
      </c>
      <c r="Z6" s="31"/>
      <c r="AB6" s="64" t="s">
        <v>60</v>
      </c>
      <c r="AC6" s="16">
        <f t="shared" si="3"/>
        <v>14623.439999999999</v>
      </c>
      <c r="AD6" s="35"/>
      <c r="AE6" s="42"/>
      <c r="AG6" s="64" t="s">
        <v>60</v>
      </c>
      <c r="AH6" s="42">
        <v>6711.56</v>
      </c>
      <c r="AI6" s="35"/>
      <c r="AJ6" s="30"/>
      <c r="AK6" s="42">
        <f t="shared" si="4"/>
        <v>21335</v>
      </c>
      <c r="AL6" s="30">
        <f t="shared" si="5"/>
        <v>-21335</v>
      </c>
      <c r="AM6" s="64" t="s">
        <v>60</v>
      </c>
      <c r="AO6" s="30"/>
    </row>
    <row r="7" spans="1:41" ht="15" x14ac:dyDescent="0.25">
      <c r="A7" s="3">
        <v>33</v>
      </c>
      <c r="B7" s="3">
        <v>23</v>
      </c>
      <c r="C7" s="10">
        <v>0</v>
      </c>
      <c r="D7" s="10">
        <v>16656</v>
      </c>
      <c r="E7" s="10">
        <v>9676</v>
      </c>
      <c r="F7" s="10">
        <v>6808</v>
      </c>
      <c r="G7" s="10">
        <v>5982</v>
      </c>
      <c r="H7" s="10">
        <v>173</v>
      </c>
      <c r="I7" s="10">
        <f>SUM(C7:H7)</f>
        <v>39295</v>
      </c>
      <c r="J7" s="10">
        <v>528</v>
      </c>
      <c r="L7" s="15">
        <v>187781.74</v>
      </c>
      <c r="M7" s="6" t="s">
        <v>13</v>
      </c>
      <c r="N7" s="8">
        <f>N5+SUM(C7:H7)</f>
        <v>333437</v>
      </c>
      <c r="O7" s="8">
        <f>O5+J7</f>
        <v>4061</v>
      </c>
      <c r="P7" s="31">
        <f t="shared" si="0"/>
        <v>88792.3</v>
      </c>
      <c r="Q7" s="31">
        <f t="shared" si="1"/>
        <v>98989.439999999988</v>
      </c>
      <c r="R7" s="31">
        <f t="shared" si="2"/>
        <v>187781.74</v>
      </c>
      <c r="T7" s="3">
        <v>33</v>
      </c>
      <c r="U7" s="24">
        <v>40551</v>
      </c>
      <c r="V7" s="24">
        <v>603</v>
      </c>
      <c r="W7" s="24">
        <v>39948</v>
      </c>
      <c r="X7" s="6">
        <v>10</v>
      </c>
      <c r="Y7" s="35">
        <v>522</v>
      </c>
      <c r="Z7" s="31">
        <v>187781.74</v>
      </c>
      <c r="AB7" s="3">
        <v>33</v>
      </c>
      <c r="AC7" s="16">
        <f t="shared" si="3"/>
        <v>97864.56</v>
      </c>
      <c r="AD7" s="35">
        <f>J7-Y7</f>
        <v>6</v>
      </c>
      <c r="AE7" s="42">
        <f>(J7*187.48)-AC7</f>
        <v>1124.8799999999901</v>
      </c>
      <c r="AG7" s="3">
        <v>33</v>
      </c>
      <c r="AH7" s="42">
        <v>105493.04</v>
      </c>
      <c r="AI7" s="38">
        <f>I7-W7</f>
        <v>-653</v>
      </c>
      <c r="AJ7" s="49">
        <f>L7-(J7*187.48)-AH7</f>
        <v>-16700.739999999991</v>
      </c>
      <c r="AK7" s="42">
        <f t="shared" si="4"/>
        <v>203357.59999999998</v>
      </c>
      <c r="AL7" s="30">
        <f t="shared" si="5"/>
        <v>-15575.859999999986</v>
      </c>
      <c r="AM7" s="3">
        <v>33</v>
      </c>
      <c r="AO7" s="30"/>
    </row>
    <row r="8" spans="1:41" ht="15" x14ac:dyDescent="0.25">
      <c r="A8" s="3">
        <v>28</v>
      </c>
      <c r="B8" s="3">
        <v>19</v>
      </c>
      <c r="C8" s="10">
        <v>33</v>
      </c>
      <c r="D8" s="10">
        <v>19751</v>
      </c>
      <c r="E8" s="10">
        <v>4899</v>
      </c>
      <c r="F8" s="10">
        <v>5810</v>
      </c>
      <c r="G8" s="10">
        <v>9271</v>
      </c>
      <c r="H8" s="10">
        <v>1917</v>
      </c>
      <c r="I8" s="10">
        <f>SUM(C8:H8)</f>
        <v>41681</v>
      </c>
      <c r="J8" s="10">
        <v>541</v>
      </c>
      <c r="L8" s="15">
        <v>208424.59</v>
      </c>
      <c r="M8" s="6" t="s">
        <v>13</v>
      </c>
      <c r="N8" s="8">
        <f>N7+SUM(C8:H8)</f>
        <v>375118</v>
      </c>
      <c r="O8" s="8">
        <f>O7+J8</f>
        <v>4602</v>
      </c>
      <c r="P8" s="31">
        <f t="shared" si="0"/>
        <v>106997.91</v>
      </c>
      <c r="Q8" s="31">
        <f t="shared" si="1"/>
        <v>101426.68</v>
      </c>
      <c r="R8" s="31">
        <f t="shared" si="2"/>
        <v>208424.59</v>
      </c>
      <c r="T8" s="3">
        <v>28</v>
      </c>
      <c r="U8" s="24">
        <v>32043</v>
      </c>
      <c r="V8" s="24">
        <v>5634</v>
      </c>
      <c r="W8" s="24">
        <v>26409</v>
      </c>
      <c r="X8" s="6">
        <v>52</v>
      </c>
      <c r="Y8" s="35">
        <v>444</v>
      </c>
      <c r="Z8" s="31">
        <v>208424.59</v>
      </c>
      <c r="AB8" s="3">
        <v>28</v>
      </c>
      <c r="AC8" s="16">
        <f t="shared" si="3"/>
        <v>83241.119999999995</v>
      </c>
      <c r="AD8" s="35">
        <f>J8-Y8</f>
        <v>97</v>
      </c>
      <c r="AE8" s="42">
        <f>(J8*187.48)-AC8</f>
        <v>18185.559999999998</v>
      </c>
      <c r="AG8" s="3">
        <v>28</v>
      </c>
      <c r="AH8" s="42">
        <v>94212.76</v>
      </c>
      <c r="AI8" s="35">
        <f>I8-W8</f>
        <v>15272</v>
      </c>
      <c r="AJ8" s="30">
        <f>L8-(J8*187.48)-AH8</f>
        <v>12785.150000000009</v>
      </c>
      <c r="AK8" s="42">
        <f t="shared" si="4"/>
        <v>177453.88</v>
      </c>
      <c r="AL8" s="30">
        <f t="shared" si="5"/>
        <v>30970.709999999992</v>
      </c>
      <c r="AM8" s="3">
        <v>28</v>
      </c>
      <c r="AO8" s="30"/>
    </row>
    <row r="9" spans="1:41" ht="15" x14ac:dyDescent="0.25">
      <c r="A9" s="3">
        <v>40</v>
      </c>
      <c r="B9" s="3">
        <v>29</v>
      </c>
      <c r="C9" s="10">
        <v>0</v>
      </c>
      <c r="D9" s="10">
        <v>0</v>
      </c>
      <c r="E9" s="10">
        <v>15045</v>
      </c>
      <c r="F9" s="10">
        <v>231</v>
      </c>
      <c r="G9" s="10">
        <v>103</v>
      </c>
      <c r="H9" s="10">
        <v>0</v>
      </c>
      <c r="I9" s="10">
        <f>SUM(C9:H9)</f>
        <v>15379</v>
      </c>
      <c r="J9" s="10">
        <v>72</v>
      </c>
      <c r="L9" s="15">
        <v>43823.66</v>
      </c>
      <c r="M9" s="6" t="s">
        <v>13</v>
      </c>
      <c r="N9" s="8">
        <f>N8+SUM(C9:H9)</f>
        <v>390497</v>
      </c>
      <c r="O9" s="8">
        <f>O8+J9</f>
        <v>4674</v>
      </c>
      <c r="P9" s="31">
        <f t="shared" si="0"/>
        <v>30325.100000000006</v>
      </c>
      <c r="Q9" s="31">
        <f t="shared" si="1"/>
        <v>13498.56</v>
      </c>
      <c r="R9" s="31">
        <f t="shared" si="2"/>
        <v>43823.66</v>
      </c>
      <c r="T9" s="3">
        <v>40</v>
      </c>
      <c r="U9" s="24">
        <v>15621</v>
      </c>
      <c r="V9" s="24">
        <v>0</v>
      </c>
      <c r="W9" s="24">
        <v>15621</v>
      </c>
      <c r="X9" s="6">
        <v>0</v>
      </c>
      <c r="Y9" s="35">
        <v>73</v>
      </c>
      <c r="Z9" s="31">
        <v>43823.66</v>
      </c>
      <c r="AB9" s="3">
        <v>40</v>
      </c>
      <c r="AC9" s="16">
        <f t="shared" si="3"/>
        <v>13686.039999999999</v>
      </c>
      <c r="AD9" s="38">
        <f>J9-Y9</f>
        <v>-1</v>
      </c>
      <c r="AE9" s="41">
        <f>(J9*187.48)-AC9</f>
        <v>-187.47999999999956</v>
      </c>
      <c r="AG9" s="3">
        <v>40</v>
      </c>
      <c r="AH9" s="42">
        <v>31001.7</v>
      </c>
      <c r="AI9" s="38">
        <f>I9-W9</f>
        <v>-242</v>
      </c>
      <c r="AJ9" s="49">
        <f>L9-(J9*187.48)-AH9</f>
        <v>-676.59999999999491</v>
      </c>
      <c r="AK9" s="42">
        <f t="shared" si="4"/>
        <v>44687.74</v>
      </c>
      <c r="AL9" s="30">
        <f t="shared" si="5"/>
        <v>-864.07999999999447</v>
      </c>
      <c r="AM9" s="3">
        <v>40</v>
      </c>
      <c r="AO9" s="30"/>
    </row>
    <row r="10" spans="1:41" ht="15" x14ac:dyDescent="0.25">
      <c r="A10" s="3">
        <v>15</v>
      </c>
      <c r="B10" s="3">
        <v>10</v>
      </c>
      <c r="C10" s="10">
        <v>5725</v>
      </c>
      <c r="D10" s="10">
        <v>105648</v>
      </c>
      <c r="E10" s="10">
        <v>51350</v>
      </c>
      <c r="F10" s="10">
        <v>14595</v>
      </c>
      <c r="G10" s="10">
        <v>2778</v>
      </c>
      <c r="H10" s="10">
        <v>3367</v>
      </c>
      <c r="I10" s="10">
        <f>SUM(C10:H10)</f>
        <v>183463</v>
      </c>
      <c r="J10" s="10">
        <v>2223</v>
      </c>
      <c r="L10" s="15">
        <v>780620.03</v>
      </c>
      <c r="M10" s="6" t="s">
        <v>13</v>
      </c>
      <c r="N10" s="8">
        <f>N9+SUM(C10:H10)</f>
        <v>573960</v>
      </c>
      <c r="O10" s="8">
        <f>O9+J10</f>
        <v>6897</v>
      </c>
      <c r="P10" s="31">
        <f t="shared" si="0"/>
        <v>363851.99000000005</v>
      </c>
      <c r="Q10" s="31">
        <f t="shared" si="1"/>
        <v>416768.04</v>
      </c>
      <c r="R10" s="31">
        <f t="shared" si="2"/>
        <v>780620.03</v>
      </c>
      <c r="T10" s="3">
        <v>15</v>
      </c>
      <c r="U10" s="24">
        <v>83072</v>
      </c>
      <c r="V10" s="24">
        <v>3165</v>
      </c>
      <c r="W10" s="24">
        <v>79907</v>
      </c>
      <c r="X10" s="6">
        <v>37</v>
      </c>
      <c r="Y10" s="35">
        <v>983</v>
      </c>
      <c r="Z10" s="31">
        <v>780620.03</v>
      </c>
      <c r="AB10" s="3">
        <v>15</v>
      </c>
      <c r="AC10" s="16">
        <f t="shared" si="3"/>
        <v>184292.84</v>
      </c>
      <c r="AD10" s="35">
        <f>J10-Y10-Y11</f>
        <v>56</v>
      </c>
      <c r="AE10" s="42">
        <f>(J10*187.48)-AC10-AC11</f>
        <v>10498.880000000005</v>
      </c>
      <c r="AG10" s="3">
        <v>15</v>
      </c>
      <c r="AH10" s="42">
        <v>164739.41</v>
      </c>
      <c r="AI10" s="35">
        <f>I10-W10-W11</f>
        <v>4107</v>
      </c>
      <c r="AJ10" s="30">
        <f>L10-(J10*187.48)-AH10-AH11</f>
        <v>1497.8900000000431</v>
      </c>
      <c r="AK10" s="42">
        <f t="shared" si="4"/>
        <v>349032.25</v>
      </c>
      <c r="AL10" s="30">
        <f t="shared" si="5"/>
        <v>431587.78</v>
      </c>
      <c r="AM10" s="3">
        <v>15</v>
      </c>
      <c r="AO10" s="30"/>
    </row>
    <row r="11" spans="1:41" ht="15" x14ac:dyDescent="0.25">
      <c r="A11" s="3"/>
      <c r="B11" s="3"/>
      <c r="C11" s="10"/>
      <c r="D11" s="10"/>
      <c r="E11" s="10"/>
      <c r="F11" s="10"/>
      <c r="G11" s="10"/>
      <c r="H11" s="10"/>
      <c r="I11" s="10"/>
      <c r="J11" s="10"/>
      <c r="L11" s="15"/>
      <c r="N11" s="8"/>
      <c r="O11" s="8"/>
      <c r="P11" s="31">
        <f t="shared" si="0"/>
        <v>0</v>
      </c>
      <c r="Q11" s="31">
        <f t="shared" si="1"/>
        <v>0</v>
      </c>
      <c r="R11" s="31">
        <f t="shared" si="2"/>
        <v>0</v>
      </c>
      <c r="T11" s="64" t="s">
        <v>59</v>
      </c>
      <c r="U11" s="24">
        <v>102254</v>
      </c>
      <c r="V11" s="24">
        <v>2805</v>
      </c>
      <c r="W11" s="24">
        <v>99449</v>
      </c>
      <c r="X11" s="6">
        <v>38</v>
      </c>
      <c r="Y11" s="35">
        <v>1184</v>
      </c>
      <c r="Z11" s="31"/>
      <c r="AB11" s="64" t="s">
        <v>59</v>
      </c>
      <c r="AC11" s="16">
        <f t="shared" si="3"/>
        <v>221976.31999999998</v>
      </c>
      <c r="AD11" s="35"/>
      <c r="AE11" s="42"/>
      <c r="AG11" s="64" t="s">
        <v>59</v>
      </c>
      <c r="AH11" s="42">
        <v>197614.69</v>
      </c>
      <c r="AI11" s="35"/>
      <c r="AJ11" s="30"/>
      <c r="AK11" s="42">
        <f t="shared" si="4"/>
        <v>419591.01</v>
      </c>
      <c r="AL11" s="30">
        <f t="shared" si="5"/>
        <v>-419591.01</v>
      </c>
      <c r="AM11" s="64" t="s">
        <v>59</v>
      </c>
      <c r="AO11" s="30"/>
    </row>
    <row r="12" spans="1:41" ht="15" x14ac:dyDescent="0.25">
      <c r="A12" s="3">
        <v>32</v>
      </c>
      <c r="B12" s="3">
        <v>22</v>
      </c>
      <c r="C12" s="10">
        <v>525</v>
      </c>
      <c r="D12" s="10">
        <v>16437</v>
      </c>
      <c r="E12" s="10">
        <v>7486</v>
      </c>
      <c r="F12" s="10">
        <v>3714</v>
      </c>
      <c r="G12" s="10">
        <v>956</v>
      </c>
      <c r="H12" s="10">
        <v>0</v>
      </c>
      <c r="I12" s="10">
        <f t="shared" ref="I12:I37" si="6">SUM(C12:H12)</f>
        <v>29118</v>
      </c>
      <c r="J12" s="10">
        <v>410</v>
      </c>
      <c r="L12" s="15">
        <v>133858.82999999999</v>
      </c>
      <c r="M12" s="6" t="s">
        <v>13</v>
      </c>
      <c r="N12" s="8">
        <f>N10+SUM(C12:H12)</f>
        <v>603078</v>
      </c>
      <c r="O12" s="8">
        <f>O10+J12</f>
        <v>7307</v>
      </c>
      <c r="P12" s="31">
        <f t="shared" si="0"/>
        <v>56992.029999999984</v>
      </c>
      <c r="Q12" s="31">
        <f t="shared" si="1"/>
        <v>76866.8</v>
      </c>
      <c r="R12" s="31">
        <f t="shared" si="2"/>
        <v>133858.82999999999</v>
      </c>
      <c r="T12" s="3">
        <v>32</v>
      </c>
      <c r="U12" s="61">
        <v>0</v>
      </c>
      <c r="V12" s="61">
        <v>0</v>
      </c>
      <c r="W12" s="61">
        <v>0</v>
      </c>
      <c r="X12" s="62">
        <v>0</v>
      </c>
      <c r="Y12" s="60">
        <v>0</v>
      </c>
      <c r="Z12" s="31">
        <f>133858.83+12413.93-12413.93</f>
        <v>133858.82999999999</v>
      </c>
      <c r="AB12" s="3">
        <v>32</v>
      </c>
      <c r="AC12" s="59">
        <f t="shared" si="3"/>
        <v>0</v>
      </c>
      <c r="AD12" s="60">
        <f>J12+J28-Y12</f>
        <v>410</v>
      </c>
      <c r="AE12" s="59">
        <f>((J12+J28)*187.48)-AC12</f>
        <v>76866.8</v>
      </c>
      <c r="AG12" s="3">
        <v>32</v>
      </c>
      <c r="AH12" s="59">
        <v>0</v>
      </c>
      <c r="AI12" s="60">
        <f>I12+I28-W12</f>
        <v>29118</v>
      </c>
      <c r="AJ12" s="63">
        <f>L12+L28-((J12+J28)*187.48)-AH12</f>
        <v>56992.029999999984</v>
      </c>
      <c r="AK12" s="72">
        <f t="shared" si="4"/>
        <v>0</v>
      </c>
      <c r="AL12" s="71">
        <f t="shared" si="5"/>
        <v>133858.82999999999</v>
      </c>
      <c r="AM12" s="3">
        <v>32</v>
      </c>
      <c r="AN12" s="30"/>
      <c r="AO12" s="30"/>
    </row>
    <row r="13" spans="1:41" ht="15" x14ac:dyDescent="0.25">
      <c r="A13" s="3">
        <v>16</v>
      </c>
      <c r="B13" s="3">
        <v>11</v>
      </c>
      <c r="C13" s="10">
        <v>170</v>
      </c>
      <c r="D13" s="10">
        <v>10324</v>
      </c>
      <c r="E13" s="10">
        <v>4750</v>
      </c>
      <c r="F13" s="10">
        <v>1721</v>
      </c>
      <c r="G13" s="10">
        <v>687</v>
      </c>
      <c r="H13" s="10">
        <v>0</v>
      </c>
      <c r="I13" s="10">
        <f t="shared" si="6"/>
        <v>17652</v>
      </c>
      <c r="J13" s="10">
        <v>255</v>
      </c>
      <c r="L13" s="15">
        <v>82158.67</v>
      </c>
      <c r="M13" s="6" t="s">
        <v>13</v>
      </c>
      <c r="N13" s="8">
        <f t="shared" ref="N13:N37" si="7">N12+SUM(C13:H13)</f>
        <v>620730</v>
      </c>
      <c r="O13" s="8">
        <f t="shared" ref="O13:O37" si="8">O12+J13</f>
        <v>7562</v>
      </c>
      <c r="P13" s="31">
        <f t="shared" si="0"/>
        <v>34351.270000000004</v>
      </c>
      <c r="Q13" s="31">
        <f t="shared" si="1"/>
        <v>47807.399999999994</v>
      </c>
      <c r="R13" s="31">
        <f t="shared" si="2"/>
        <v>82158.67</v>
      </c>
      <c r="T13" s="3">
        <v>16</v>
      </c>
      <c r="U13" s="24">
        <v>16463</v>
      </c>
      <c r="V13" s="24">
        <v>5</v>
      </c>
      <c r="W13" s="24">
        <v>16458</v>
      </c>
      <c r="X13" s="6">
        <v>1</v>
      </c>
      <c r="Y13" s="35">
        <v>118</v>
      </c>
      <c r="Z13" s="31">
        <v>82158.67</v>
      </c>
      <c r="AB13" s="3">
        <v>16</v>
      </c>
      <c r="AC13" s="16">
        <f t="shared" si="3"/>
        <v>22122.639999999999</v>
      </c>
      <c r="AD13" s="35">
        <f>J13-Y13</f>
        <v>137</v>
      </c>
      <c r="AE13" s="42">
        <f>(J13*187.48)-AC13</f>
        <v>25684.759999999995</v>
      </c>
      <c r="AG13" s="3">
        <v>16</v>
      </c>
      <c r="AH13" s="16">
        <v>27910.400000000001</v>
      </c>
      <c r="AI13" s="35">
        <f>I13-W13</f>
        <v>1194</v>
      </c>
      <c r="AJ13" s="30">
        <f>L13-(J13*187.48)-AH13</f>
        <v>6440.8700000000026</v>
      </c>
      <c r="AK13" s="42">
        <f t="shared" si="4"/>
        <v>50033.04</v>
      </c>
      <c r="AL13" s="30">
        <f t="shared" si="5"/>
        <v>32125.629999999997</v>
      </c>
      <c r="AM13" s="3">
        <v>16</v>
      </c>
      <c r="AO13" s="30"/>
    </row>
    <row r="14" spans="1:41" ht="15" x14ac:dyDescent="0.25">
      <c r="A14" s="3">
        <v>22</v>
      </c>
      <c r="B14" s="3">
        <v>15</v>
      </c>
      <c r="C14" s="10">
        <v>0</v>
      </c>
      <c r="D14" s="10">
        <v>1890</v>
      </c>
      <c r="E14" s="10">
        <v>3409</v>
      </c>
      <c r="F14" s="10">
        <v>2097</v>
      </c>
      <c r="G14" s="10">
        <v>0</v>
      </c>
      <c r="H14" s="10">
        <v>0</v>
      </c>
      <c r="I14" s="10">
        <f t="shared" si="6"/>
        <v>7396</v>
      </c>
      <c r="J14" s="10">
        <v>89</v>
      </c>
      <c r="L14" s="14">
        <v>32078.21</v>
      </c>
      <c r="M14" s="5" t="s">
        <v>13</v>
      </c>
      <c r="N14" s="8">
        <f t="shared" si="7"/>
        <v>628126</v>
      </c>
      <c r="O14" s="8">
        <f t="shared" si="8"/>
        <v>7651</v>
      </c>
      <c r="P14" s="31">
        <f t="shared" si="0"/>
        <v>15392.490000000002</v>
      </c>
      <c r="Q14" s="31">
        <f t="shared" si="1"/>
        <v>16685.719999999998</v>
      </c>
      <c r="R14" s="31">
        <f t="shared" si="2"/>
        <v>32078.21</v>
      </c>
      <c r="T14" s="3">
        <v>22</v>
      </c>
      <c r="U14" s="24">
        <v>5737</v>
      </c>
      <c r="V14" s="24">
        <v>0</v>
      </c>
      <c r="W14" s="24">
        <v>5737</v>
      </c>
      <c r="X14" s="6">
        <v>0</v>
      </c>
      <c r="Y14" s="35">
        <v>76</v>
      </c>
      <c r="Z14" s="31">
        <v>32078.21</v>
      </c>
      <c r="AB14" s="3">
        <v>22</v>
      </c>
      <c r="AC14" s="16">
        <f t="shared" si="3"/>
        <v>14248.48</v>
      </c>
      <c r="AD14" s="35">
        <f>J14-Y14</f>
        <v>13</v>
      </c>
      <c r="AE14" s="42">
        <f>(J14*187.48)-AC14</f>
        <v>2437.239999999998</v>
      </c>
      <c r="AG14" s="3">
        <v>22</v>
      </c>
      <c r="AH14" s="16">
        <v>11612.98</v>
      </c>
      <c r="AI14" s="35">
        <f>I14-W14</f>
        <v>1659</v>
      </c>
      <c r="AJ14" s="30">
        <f>L14-(J14*187.48)-AH14</f>
        <v>3779.510000000002</v>
      </c>
      <c r="AK14" s="42">
        <f t="shared" si="4"/>
        <v>25861.46</v>
      </c>
      <c r="AL14" s="30">
        <f t="shared" si="5"/>
        <v>6216.75</v>
      </c>
      <c r="AM14" s="3">
        <v>22</v>
      </c>
      <c r="AO14" s="30"/>
    </row>
    <row r="15" spans="1:41" ht="15" x14ac:dyDescent="0.25">
      <c r="A15" s="3">
        <v>11</v>
      </c>
      <c r="B15" s="3">
        <v>8</v>
      </c>
      <c r="C15" s="10">
        <v>884</v>
      </c>
      <c r="D15" s="10">
        <v>32850</v>
      </c>
      <c r="E15" s="10">
        <v>27374</v>
      </c>
      <c r="F15" s="10">
        <v>20381</v>
      </c>
      <c r="G15" s="10">
        <v>3876</v>
      </c>
      <c r="H15" s="10">
        <v>421</v>
      </c>
      <c r="I15" s="10">
        <f t="shared" si="6"/>
        <v>85786</v>
      </c>
      <c r="J15" s="10">
        <v>1162</v>
      </c>
      <c r="L15" s="15">
        <v>399965.68</v>
      </c>
      <c r="M15" s="6" t="s">
        <v>14</v>
      </c>
      <c r="N15" s="8">
        <f t="shared" si="7"/>
        <v>713912</v>
      </c>
      <c r="O15" s="8">
        <f t="shared" si="8"/>
        <v>8813</v>
      </c>
      <c r="P15" s="31">
        <f t="shared" si="0"/>
        <v>182113.92000000001</v>
      </c>
      <c r="Q15" s="31">
        <f t="shared" si="1"/>
        <v>217851.75999999998</v>
      </c>
      <c r="R15" s="31">
        <f t="shared" si="2"/>
        <v>399965.68</v>
      </c>
      <c r="T15" s="3">
        <v>11</v>
      </c>
      <c r="U15" s="24">
        <v>85182.7</v>
      </c>
      <c r="V15" s="24">
        <v>1660</v>
      </c>
      <c r="W15" s="24">
        <v>83523</v>
      </c>
      <c r="X15" s="6">
        <v>2</v>
      </c>
      <c r="Y15" s="35">
        <v>1089</v>
      </c>
      <c r="Z15" s="31">
        <v>399965.68</v>
      </c>
      <c r="AB15" s="3">
        <v>11</v>
      </c>
      <c r="AC15" s="16">
        <f t="shared" si="3"/>
        <v>204165.72</v>
      </c>
      <c r="AD15" s="35">
        <f>J15-Y15</f>
        <v>73</v>
      </c>
      <c r="AE15" s="42">
        <f>(J15*187.48)-AC15</f>
        <v>13686.039999999979</v>
      </c>
      <c r="AG15" s="3">
        <v>11</v>
      </c>
      <c r="AH15" s="16">
        <v>190382.83</v>
      </c>
      <c r="AI15" s="35">
        <f>I15-W15</f>
        <v>2263</v>
      </c>
      <c r="AJ15" s="49">
        <f>L15-(J15*187.48)-AH15</f>
        <v>-8268.9099999999744</v>
      </c>
      <c r="AK15" s="42">
        <f t="shared" si="4"/>
        <v>394548.55</v>
      </c>
      <c r="AL15" s="30">
        <f t="shared" si="5"/>
        <v>5417.1300000000047</v>
      </c>
      <c r="AM15" s="3">
        <v>11</v>
      </c>
      <c r="AO15" s="30"/>
    </row>
    <row r="16" spans="1:41" ht="15" x14ac:dyDescent="0.25">
      <c r="A16" s="3">
        <v>2</v>
      </c>
      <c r="B16" s="3">
        <v>2</v>
      </c>
      <c r="C16" s="10">
        <v>5270</v>
      </c>
      <c r="D16" s="10">
        <v>24160</v>
      </c>
      <c r="E16" s="10">
        <v>23978</v>
      </c>
      <c r="F16" s="10">
        <v>2605</v>
      </c>
      <c r="G16" s="10">
        <v>2503</v>
      </c>
      <c r="H16" s="10">
        <v>1041</v>
      </c>
      <c r="I16" s="10">
        <f t="shared" si="6"/>
        <v>59557</v>
      </c>
      <c r="J16" s="10">
        <v>833</v>
      </c>
      <c r="L16" s="15">
        <v>276574.27</v>
      </c>
      <c r="M16" s="6" t="s">
        <v>14</v>
      </c>
      <c r="N16" s="8">
        <f t="shared" si="7"/>
        <v>773469</v>
      </c>
      <c r="O16" s="8">
        <f t="shared" si="8"/>
        <v>9646</v>
      </c>
      <c r="P16" s="31">
        <f t="shared" si="0"/>
        <v>120403.43000000002</v>
      </c>
      <c r="Q16" s="31">
        <f t="shared" si="1"/>
        <v>156170.84</v>
      </c>
      <c r="R16" s="31">
        <f t="shared" si="2"/>
        <v>276574.27</v>
      </c>
      <c r="T16" s="3">
        <v>2</v>
      </c>
      <c r="U16" s="24">
        <v>59545</v>
      </c>
      <c r="V16" s="24">
        <v>802</v>
      </c>
      <c r="W16" s="24">
        <v>58743</v>
      </c>
      <c r="X16" s="6">
        <v>7</v>
      </c>
      <c r="Y16" s="35">
        <v>812</v>
      </c>
      <c r="Z16" s="31">
        <v>276574.27</v>
      </c>
      <c r="AB16" s="3">
        <v>2</v>
      </c>
      <c r="AC16" s="16">
        <f t="shared" si="3"/>
        <v>152233.75999999998</v>
      </c>
      <c r="AD16" s="35">
        <f>J16-Y16</f>
        <v>21</v>
      </c>
      <c r="AE16" s="42">
        <f>(J16*187.48)-AC16</f>
        <v>3937.0800000000163</v>
      </c>
      <c r="AG16" s="3">
        <v>2</v>
      </c>
      <c r="AH16" s="16">
        <v>116770.71</v>
      </c>
      <c r="AI16" s="35">
        <f>I16-W16</f>
        <v>814</v>
      </c>
      <c r="AJ16" s="30">
        <f>L16-(J16*187.48)-AH16</f>
        <v>3632.7200000000157</v>
      </c>
      <c r="AK16" s="42">
        <f t="shared" si="4"/>
        <v>269004.46999999997</v>
      </c>
      <c r="AL16" s="30">
        <f t="shared" si="5"/>
        <v>7569.8000000000466</v>
      </c>
      <c r="AM16" s="3">
        <v>2</v>
      </c>
      <c r="AO16" s="30"/>
    </row>
    <row r="17" spans="1:41" ht="15" x14ac:dyDescent="0.25">
      <c r="A17" s="3">
        <v>6</v>
      </c>
      <c r="B17" s="3">
        <v>5</v>
      </c>
      <c r="C17" s="10">
        <v>0</v>
      </c>
      <c r="D17" s="10">
        <v>7359</v>
      </c>
      <c r="E17" s="10">
        <v>4616</v>
      </c>
      <c r="F17" s="10">
        <v>755</v>
      </c>
      <c r="G17" s="10">
        <v>0</v>
      </c>
      <c r="H17" s="10">
        <v>0</v>
      </c>
      <c r="I17" s="10">
        <f t="shared" si="6"/>
        <v>12730</v>
      </c>
      <c r="J17" s="10">
        <v>206</v>
      </c>
      <c r="L17" s="15">
        <v>62257.66</v>
      </c>
      <c r="M17" s="6" t="s">
        <v>14</v>
      </c>
      <c r="N17" s="8">
        <f t="shared" si="7"/>
        <v>786199</v>
      </c>
      <c r="O17" s="8">
        <f t="shared" si="8"/>
        <v>9852</v>
      </c>
      <c r="P17" s="31">
        <f t="shared" si="0"/>
        <v>23636.780000000006</v>
      </c>
      <c r="Q17" s="31">
        <f t="shared" si="1"/>
        <v>38620.879999999997</v>
      </c>
      <c r="R17" s="31">
        <f t="shared" si="2"/>
        <v>62257.66</v>
      </c>
      <c r="T17" s="3">
        <v>6</v>
      </c>
      <c r="U17" s="24">
        <v>14195</v>
      </c>
      <c r="V17" s="24">
        <v>0</v>
      </c>
      <c r="W17" s="24">
        <v>14195</v>
      </c>
      <c r="X17" s="6">
        <v>0</v>
      </c>
      <c r="Y17" s="35">
        <v>129</v>
      </c>
      <c r="Z17" s="31">
        <v>62257.66</v>
      </c>
      <c r="AB17" s="3">
        <v>6</v>
      </c>
      <c r="AC17" s="16">
        <f t="shared" si="3"/>
        <v>24184.92</v>
      </c>
      <c r="AD17" s="35">
        <f>J17-Y17</f>
        <v>77</v>
      </c>
      <c r="AE17" s="42">
        <f>(J17*187.48)-AC17</f>
        <v>14435.96</v>
      </c>
      <c r="AG17" s="3">
        <v>6</v>
      </c>
      <c r="AH17" s="16">
        <v>24362.959999999999</v>
      </c>
      <c r="AI17" s="38">
        <f>I17-W17</f>
        <v>-1465</v>
      </c>
      <c r="AJ17" s="49">
        <f>L17-(J17*187.48)-AH17</f>
        <v>-726.17999999999302</v>
      </c>
      <c r="AK17" s="42">
        <f t="shared" si="4"/>
        <v>48547.88</v>
      </c>
      <c r="AL17" s="30">
        <f t="shared" si="5"/>
        <v>13709.780000000006</v>
      </c>
      <c r="AM17" s="3">
        <v>6</v>
      </c>
      <c r="AO17" s="30"/>
    </row>
    <row r="18" spans="1:41" ht="15" x14ac:dyDescent="0.25">
      <c r="A18" s="3">
        <v>34</v>
      </c>
      <c r="B18" s="3">
        <v>24</v>
      </c>
      <c r="C18" s="10">
        <v>287</v>
      </c>
      <c r="D18" s="10">
        <v>17221</v>
      </c>
      <c r="E18" s="10">
        <v>4945</v>
      </c>
      <c r="F18" s="10">
        <v>1885</v>
      </c>
      <c r="G18" s="10">
        <v>1138</v>
      </c>
      <c r="H18" s="10">
        <v>346</v>
      </c>
      <c r="I18" s="10">
        <f t="shared" si="6"/>
        <v>25822</v>
      </c>
      <c r="J18" s="10">
        <v>375</v>
      </c>
      <c r="L18" s="15">
        <v>121681.82</v>
      </c>
      <c r="M18" s="6" t="s">
        <v>14</v>
      </c>
      <c r="N18" s="8">
        <f t="shared" si="7"/>
        <v>812021</v>
      </c>
      <c r="O18" s="8">
        <f t="shared" si="8"/>
        <v>10227</v>
      </c>
      <c r="P18" s="31">
        <f t="shared" si="0"/>
        <v>51376.820000000007</v>
      </c>
      <c r="Q18" s="31">
        <f t="shared" si="1"/>
        <v>70305</v>
      </c>
      <c r="R18" s="31">
        <f t="shared" si="2"/>
        <v>121681.82</v>
      </c>
      <c r="T18" s="3">
        <v>34</v>
      </c>
      <c r="U18" s="24">
        <v>25408</v>
      </c>
      <c r="V18" s="24">
        <v>0</v>
      </c>
      <c r="W18" s="24">
        <v>25408</v>
      </c>
      <c r="X18" s="6">
        <v>0</v>
      </c>
      <c r="Y18" s="35">
        <v>337</v>
      </c>
      <c r="Z18" s="31">
        <f>121681.82+4062.64</f>
        <v>125744.46</v>
      </c>
      <c r="AB18" s="3">
        <v>34</v>
      </c>
      <c r="AC18" s="16">
        <f t="shared" si="3"/>
        <v>63180.759999999995</v>
      </c>
      <c r="AD18" s="35">
        <f>J18+J24-Y18</f>
        <v>50</v>
      </c>
      <c r="AE18" s="42">
        <f>((J18+J24)*187.48)-AC18</f>
        <v>9374</v>
      </c>
      <c r="AG18" s="3">
        <v>34</v>
      </c>
      <c r="AH18" s="16">
        <v>51376.35</v>
      </c>
      <c r="AI18" s="35">
        <f>I18+I24-W18</f>
        <v>1468</v>
      </c>
      <c r="AJ18" s="67">
        <f>L18+L24-((J18+J24)*187.48)-AH18</f>
        <v>1813.3500000000131</v>
      </c>
      <c r="AK18" s="42">
        <f t="shared" si="4"/>
        <v>114557.10999999999</v>
      </c>
      <c r="AL18" s="30">
        <f t="shared" si="5"/>
        <v>11187.35000000002</v>
      </c>
      <c r="AM18" s="3">
        <v>34</v>
      </c>
      <c r="AO18" s="30"/>
    </row>
    <row r="19" spans="1:41" ht="15" x14ac:dyDescent="0.25">
      <c r="A19" s="3">
        <v>38</v>
      </c>
      <c r="B19" s="3">
        <v>27</v>
      </c>
      <c r="C19" s="10">
        <v>4470</v>
      </c>
      <c r="D19" s="10">
        <v>12257</v>
      </c>
      <c r="E19" s="10">
        <v>4405</v>
      </c>
      <c r="F19" s="10">
        <v>9500</v>
      </c>
      <c r="G19" s="10">
        <v>5330</v>
      </c>
      <c r="H19" s="10">
        <v>1244</v>
      </c>
      <c r="I19" s="10">
        <f t="shared" si="6"/>
        <v>37206</v>
      </c>
      <c r="J19" s="10">
        <v>349</v>
      </c>
      <c r="L19" s="15">
        <v>155920.10999999999</v>
      </c>
      <c r="M19" s="6" t="s">
        <v>14</v>
      </c>
      <c r="N19" s="8">
        <f t="shared" si="7"/>
        <v>849227</v>
      </c>
      <c r="O19" s="8">
        <f t="shared" si="8"/>
        <v>10576</v>
      </c>
      <c r="P19" s="31">
        <f t="shared" si="0"/>
        <v>90489.59</v>
      </c>
      <c r="Q19" s="31">
        <f t="shared" si="1"/>
        <v>65430.52</v>
      </c>
      <c r="R19" s="31">
        <f t="shared" si="2"/>
        <v>155920.10999999999</v>
      </c>
      <c r="T19" s="3">
        <v>38</v>
      </c>
      <c r="U19" s="24">
        <v>37247</v>
      </c>
      <c r="V19" s="24">
        <v>0</v>
      </c>
      <c r="W19" s="24">
        <v>37247</v>
      </c>
      <c r="X19" s="6">
        <v>0</v>
      </c>
      <c r="Y19" s="35">
        <v>342</v>
      </c>
      <c r="Z19" s="31">
        <v>155920.10999999999</v>
      </c>
      <c r="AB19" s="3">
        <v>38</v>
      </c>
      <c r="AC19" s="16">
        <f t="shared" si="3"/>
        <v>64118.159999999996</v>
      </c>
      <c r="AD19" s="35">
        <f>J19-Y19</f>
        <v>7</v>
      </c>
      <c r="AE19" s="42">
        <f>(J19*187.48)-AC19</f>
        <v>1312.3600000000006</v>
      </c>
      <c r="AG19" s="3">
        <v>38</v>
      </c>
      <c r="AH19" s="16">
        <v>107193.22</v>
      </c>
      <c r="AI19" s="38">
        <f>I19-W19</f>
        <v>-41</v>
      </c>
      <c r="AJ19" s="49">
        <f>L19-(J19*187.48)-AH19</f>
        <v>-16703.630000000005</v>
      </c>
      <c r="AK19" s="42">
        <f t="shared" si="4"/>
        <v>171311.38</v>
      </c>
      <c r="AL19" s="30">
        <f t="shared" si="5"/>
        <v>-15391.270000000019</v>
      </c>
      <c r="AM19" s="3">
        <v>38</v>
      </c>
      <c r="AO19" s="30"/>
    </row>
    <row r="20" spans="1:41" ht="15" x14ac:dyDescent="0.25">
      <c r="A20" s="3">
        <v>39</v>
      </c>
      <c r="B20" s="3">
        <v>28</v>
      </c>
      <c r="C20" s="10">
        <v>1976</v>
      </c>
      <c r="D20" s="10">
        <v>26121</v>
      </c>
      <c r="E20" s="10">
        <v>8405</v>
      </c>
      <c r="F20" s="10">
        <v>7400</v>
      </c>
      <c r="G20" s="10">
        <v>3276</v>
      </c>
      <c r="H20" s="10">
        <v>2324</v>
      </c>
      <c r="I20" s="10">
        <f t="shared" si="6"/>
        <v>49502</v>
      </c>
      <c r="J20" s="10">
        <v>580</v>
      </c>
      <c r="L20" s="15">
        <v>221512.39</v>
      </c>
      <c r="M20" s="5" t="s">
        <v>14</v>
      </c>
      <c r="N20" s="8">
        <f t="shared" si="7"/>
        <v>898729</v>
      </c>
      <c r="O20" s="8">
        <f t="shared" si="8"/>
        <v>11156</v>
      </c>
      <c r="P20" s="31">
        <f t="shared" si="0"/>
        <v>112773.99000000002</v>
      </c>
      <c r="Q20" s="31">
        <f t="shared" si="1"/>
        <v>108738.4</v>
      </c>
      <c r="R20" s="31">
        <f t="shared" si="2"/>
        <v>221512.39</v>
      </c>
      <c r="S20" s="30"/>
      <c r="T20" s="3">
        <v>39</v>
      </c>
      <c r="U20" s="24">
        <v>65902</v>
      </c>
      <c r="V20" s="24">
        <v>129</v>
      </c>
      <c r="W20" s="24">
        <v>65773</v>
      </c>
      <c r="X20" s="6">
        <v>3</v>
      </c>
      <c r="Y20" s="35">
        <v>770</v>
      </c>
      <c r="Z20" s="31">
        <f>221512.39+83508.86+9226.06</f>
        <v>314247.31</v>
      </c>
      <c r="AB20" s="3">
        <v>39</v>
      </c>
      <c r="AC20" s="16">
        <f t="shared" si="3"/>
        <v>144359.6</v>
      </c>
      <c r="AD20" s="35">
        <f>J20+J21+J23-Y20</f>
        <v>29</v>
      </c>
      <c r="AE20" s="42">
        <f>((J20+J21+J23)*187.48)-AC20</f>
        <v>5436.9199999999837</v>
      </c>
      <c r="AG20" s="3">
        <v>39</v>
      </c>
      <c r="AH20" s="16">
        <v>180101.88</v>
      </c>
      <c r="AI20" s="35">
        <f>I20+I21+I23-W20</f>
        <v>1249</v>
      </c>
      <c r="AJ20" s="49">
        <f>L20+L21+L23-((J20+J21+J23)*187.48)-AH20</f>
        <v>-15651.089999999997</v>
      </c>
      <c r="AK20" s="42">
        <f t="shared" si="4"/>
        <v>324461.48</v>
      </c>
      <c r="AL20" s="30">
        <f t="shared" si="5"/>
        <v>-10214.169999999984</v>
      </c>
      <c r="AM20" s="3">
        <v>39</v>
      </c>
      <c r="AO20" s="30"/>
    </row>
    <row r="21" spans="1:41" ht="15" x14ac:dyDescent="0.25">
      <c r="A21" s="3">
        <v>39</v>
      </c>
      <c r="B21" s="3">
        <v>28</v>
      </c>
      <c r="C21" s="10">
        <v>0</v>
      </c>
      <c r="D21" s="10">
        <v>3931</v>
      </c>
      <c r="E21" s="10">
        <v>1455</v>
      </c>
      <c r="F21" s="10">
        <v>6167</v>
      </c>
      <c r="G21" s="10">
        <v>3045</v>
      </c>
      <c r="H21" s="10">
        <v>1635</v>
      </c>
      <c r="I21" s="10">
        <f t="shared" si="6"/>
        <v>16233</v>
      </c>
      <c r="J21" s="10">
        <v>185</v>
      </c>
      <c r="L21" s="15">
        <v>83508.86</v>
      </c>
      <c r="M21" s="69" t="s">
        <v>62</v>
      </c>
      <c r="N21" s="8">
        <f t="shared" si="7"/>
        <v>914962</v>
      </c>
      <c r="O21" s="8">
        <f t="shared" si="8"/>
        <v>11341</v>
      </c>
      <c r="P21" s="31">
        <f t="shared" si="0"/>
        <v>48825.060000000005</v>
      </c>
      <c r="Q21" s="31">
        <f t="shared" si="1"/>
        <v>34683.799999999996</v>
      </c>
      <c r="R21" s="31">
        <f t="shared" si="2"/>
        <v>83508.86</v>
      </c>
      <c r="T21" s="3">
        <v>39</v>
      </c>
      <c r="U21" s="24"/>
      <c r="V21" s="24"/>
      <c r="W21" s="24"/>
      <c r="X21" s="6"/>
      <c r="Y21" s="35"/>
      <c r="AA21" s="31">
        <v>83508.86</v>
      </c>
      <c r="AB21" s="3">
        <v>39</v>
      </c>
      <c r="AC21" s="16">
        <f t="shared" si="3"/>
        <v>0</v>
      </c>
      <c r="AD21" s="35"/>
      <c r="AE21" s="42"/>
      <c r="AG21" s="3">
        <v>39</v>
      </c>
      <c r="AH21" s="16">
        <v>0</v>
      </c>
      <c r="AI21" s="35"/>
      <c r="AJ21" s="30"/>
      <c r="AK21" s="42">
        <f t="shared" si="4"/>
        <v>0</v>
      </c>
      <c r="AL21" s="30">
        <f t="shared" si="5"/>
        <v>0</v>
      </c>
      <c r="AM21" s="3">
        <v>39</v>
      </c>
      <c r="AO21" s="30"/>
    </row>
    <row r="22" spans="1:41" ht="15" x14ac:dyDescent="0.25">
      <c r="A22" s="3">
        <v>0</v>
      </c>
      <c r="B22" s="3">
        <v>1</v>
      </c>
      <c r="C22" s="10">
        <v>1141</v>
      </c>
      <c r="D22" s="10">
        <v>15408</v>
      </c>
      <c r="E22" s="10">
        <v>20379</v>
      </c>
      <c r="F22" s="10">
        <v>10182</v>
      </c>
      <c r="G22" s="10">
        <v>667</v>
      </c>
      <c r="H22" s="10">
        <v>0</v>
      </c>
      <c r="I22" s="10">
        <f t="shared" si="6"/>
        <v>47777</v>
      </c>
      <c r="J22" s="10">
        <v>563</v>
      </c>
      <c r="L22" s="15">
        <v>202780.47</v>
      </c>
      <c r="M22" s="69" t="s">
        <v>62</v>
      </c>
      <c r="N22" s="8">
        <f t="shared" si="7"/>
        <v>962739</v>
      </c>
      <c r="O22" s="8">
        <f t="shared" si="8"/>
        <v>11904</v>
      </c>
      <c r="P22" s="31">
        <f t="shared" si="0"/>
        <v>97229.23000000001</v>
      </c>
      <c r="Q22" s="31">
        <f t="shared" si="1"/>
        <v>105551.23999999999</v>
      </c>
      <c r="R22" s="31">
        <f t="shared" si="2"/>
        <v>202780.47</v>
      </c>
      <c r="T22" s="3">
        <v>0</v>
      </c>
      <c r="U22" s="24">
        <v>50713</v>
      </c>
      <c r="V22" s="24">
        <v>6074</v>
      </c>
      <c r="W22" s="24">
        <v>44639</v>
      </c>
      <c r="X22" s="6">
        <v>22</v>
      </c>
      <c r="Y22" s="35">
        <v>531</v>
      </c>
      <c r="Z22" s="31">
        <f>202780.47+2640.07</f>
        <v>205420.54</v>
      </c>
      <c r="AB22" s="3">
        <v>0</v>
      </c>
      <c r="AC22" s="16">
        <f t="shared" si="3"/>
        <v>99551.87999999999</v>
      </c>
      <c r="AD22" s="35">
        <f>J22+J27-Y22</f>
        <v>40</v>
      </c>
      <c r="AE22" s="42">
        <f>((J22+J27)*187.48)-AC22</f>
        <v>7499.1999999999971</v>
      </c>
      <c r="AG22" s="3">
        <v>0</v>
      </c>
      <c r="AH22" s="16">
        <v>90509.95</v>
      </c>
      <c r="AI22" s="35">
        <f>I22+I27-W22</f>
        <v>3551</v>
      </c>
      <c r="AJ22" s="30">
        <f>L22+L27-((J22+J27)*187.48)-AH22</f>
        <v>7859.5100000000239</v>
      </c>
      <c r="AK22" s="42">
        <f t="shared" si="4"/>
        <v>190061.83</v>
      </c>
      <c r="AL22" s="30">
        <f t="shared" si="5"/>
        <v>15358.710000000021</v>
      </c>
      <c r="AM22" s="3">
        <v>0</v>
      </c>
      <c r="AO22" s="30"/>
    </row>
    <row r="23" spans="1:41" ht="15" x14ac:dyDescent="0.25">
      <c r="A23" s="3" t="s">
        <v>19</v>
      </c>
      <c r="B23" s="3">
        <v>28</v>
      </c>
      <c r="C23" s="10">
        <v>0</v>
      </c>
      <c r="D23" s="10">
        <v>578</v>
      </c>
      <c r="E23" s="10">
        <v>0</v>
      </c>
      <c r="F23" s="10">
        <v>709</v>
      </c>
      <c r="G23" s="10">
        <v>0</v>
      </c>
      <c r="H23" s="10">
        <v>0</v>
      </c>
      <c r="I23" s="10">
        <f t="shared" si="6"/>
        <v>1287</v>
      </c>
      <c r="J23" s="10">
        <v>34</v>
      </c>
      <c r="L23" s="15">
        <v>9226.06</v>
      </c>
      <c r="M23" s="69" t="s">
        <v>62</v>
      </c>
      <c r="N23" s="8">
        <f t="shared" si="7"/>
        <v>964026</v>
      </c>
      <c r="O23" s="8">
        <f t="shared" si="8"/>
        <v>11938</v>
      </c>
      <c r="P23" s="31">
        <f t="shared" si="0"/>
        <v>2851.74</v>
      </c>
      <c r="Q23" s="31">
        <f t="shared" si="1"/>
        <v>6374.32</v>
      </c>
      <c r="R23" s="31">
        <f t="shared" si="2"/>
        <v>9226.06</v>
      </c>
      <c r="T23" s="3" t="s">
        <v>19</v>
      </c>
      <c r="U23" s="24"/>
      <c r="V23" s="24"/>
      <c r="W23" s="24"/>
      <c r="X23" s="6"/>
      <c r="Y23" s="35"/>
      <c r="AA23" s="31">
        <v>9226.06</v>
      </c>
      <c r="AB23" s="3" t="s">
        <v>19</v>
      </c>
      <c r="AC23" s="16">
        <f t="shared" si="3"/>
        <v>0</v>
      </c>
      <c r="AD23" s="35"/>
      <c r="AE23" s="42"/>
      <c r="AG23" s="3" t="s">
        <v>19</v>
      </c>
      <c r="AH23" s="16">
        <v>0</v>
      </c>
      <c r="AI23" s="35"/>
      <c r="AJ23" s="30"/>
      <c r="AK23" s="42">
        <f t="shared" si="4"/>
        <v>0</v>
      </c>
      <c r="AL23" s="30">
        <f t="shared" si="5"/>
        <v>0</v>
      </c>
      <c r="AM23" s="3" t="s">
        <v>19</v>
      </c>
      <c r="AO23" s="30"/>
    </row>
    <row r="24" spans="1:41" ht="15" x14ac:dyDescent="0.25">
      <c r="A24" s="3" t="s">
        <v>20</v>
      </c>
      <c r="B24" s="3">
        <v>24</v>
      </c>
      <c r="C24" s="10">
        <v>0</v>
      </c>
      <c r="D24" s="10">
        <v>1054</v>
      </c>
      <c r="E24" s="10">
        <v>0</v>
      </c>
      <c r="F24" s="10">
        <v>0</v>
      </c>
      <c r="G24" s="10">
        <v>0</v>
      </c>
      <c r="H24" s="10">
        <v>0</v>
      </c>
      <c r="I24" s="10">
        <f t="shared" si="6"/>
        <v>1054</v>
      </c>
      <c r="J24" s="10">
        <v>12</v>
      </c>
      <c r="L24" s="15">
        <v>4062.64</v>
      </c>
      <c r="M24" s="69" t="s">
        <v>62</v>
      </c>
      <c r="N24" s="8">
        <f t="shared" si="7"/>
        <v>965080</v>
      </c>
      <c r="O24" s="8">
        <f t="shared" si="8"/>
        <v>11950</v>
      </c>
      <c r="P24" s="31">
        <f t="shared" si="0"/>
        <v>1812.88</v>
      </c>
      <c r="Q24" s="31">
        <f t="shared" si="1"/>
        <v>2249.7599999999998</v>
      </c>
      <c r="R24" s="31">
        <f t="shared" si="2"/>
        <v>4062.64</v>
      </c>
      <c r="T24" s="3" t="s">
        <v>20</v>
      </c>
      <c r="U24" s="24"/>
      <c r="V24" s="24"/>
      <c r="W24" s="24"/>
      <c r="X24" s="6"/>
      <c r="Y24" s="35"/>
      <c r="AA24" s="31">
        <v>4062.64</v>
      </c>
      <c r="AB24" s="3" t="s">
        <v>20</v>
      </c>
      <c r="AC24" s="16">
        <f t="shared" si="3"/>
        <v>0</v>
      </c>
      <c r="AD24" s="35"/>
      <c r="AE24" s="42"/>
      <c r="AG24" s="3" t="s">
        <v>20</v>
      </c>
      <c r="AH24" s="16">
        <v>0</v>
      </c>
      <c r="AI24" s="35"/>
      <c r="AJ24" s="30"/>
      <c r="AK24" s="42">
        <f t="shared" si="4"/>
        <v>0</v>
      </c>
      <c r="AL24" s="30">
        <f t="shared" si="5"/>
        <v>0</v>
      </c>
      <c r="AM24" s="3" t="s">
        <v>20</v>
      </c>
      <c r="AO24" s="30"/>
    </row>
    <row r="25" spans="1:41" ht="15" x14ac:dyDescent="0.25">
      <c r="A25" s="3">
        <v>25</v>
      </c>
      <c r="B25" s="3">
        <v>18</v>
      </c>
      <c r="C25" s="10">
        <v>4210</v>
      </c>
      <c r="D25" s="10">
        <v>16601</v>
      </c>
      <c r="E25" s="10">
        <v>3604</v>
      </c>
      <c r="F25" s="10">
        <v>11999</v>
      </c>
      <c r="G25" s="10">
        <v>8012</v>
      </c>
      <c r="H25" s="10">
        <v>1162</v>
      </c>
      <c r="I25" s="10">
        <f t="shared" si="6"/>
        <v>45588</v>
      </c>
      <c r="J25" s="10">
        <v>649</v>
      </c>
      <c r="L25" s="15">
        <v>233562.44</v>
      </c>
      <c r="M25" s="69" t="s">
        <v>62</v>
      </c>
      <c r="N25" s="8">
        <f t="shared" si="7"/>
        <v>1010668</v>
      </c>
      <c r="O25" s="8">
        <f t="shared" si="8"/>
        <v>12599</v>
      </c>
      <c r="P25" s="31">
        <f t="shared" si="0"/>
        <v>111887.92000000001</v>
      </c>
      <c r="Q25" s="31">
        <f t="shared" si="1"/>
        <v>121674.51999999999</v>
      </c>
      <c r="R25" s="31">
        <f t="shared" si="2"/>
        <v>233562.44</v>
      </c>
      <c r="T25" s="3">
        <v>25</v>
      </c>
      <c r="U25" s="24">
        <v>50149</v>
      </c>
      <c r="V25" s="24">
        <v>10</v>
      </c>
      <c r="W25" s="24">
        <v>50139</v>
      </c>
      <c r="X25" s="6">
        <v>1</v>
      </c>
      <c r="Y25" s="35">
        <v>671</v>
      </c>
      <c r="Z25" s="31">
        <v>233562.44</v>
      </c>
      <c r="AB25" s="3">
        <v>25</v>
      </c>
      <c r="AC25" s="16">
        <f t="shared" si="3"/>
        <v>125799.07999999999</v>
      </c>
      <c r="AD25" s="38">
        <f>J25-Y25</f>
        <v>-22</v>
      </c>
      <c r="AE25" s="41">
        <f>(J25*187.48)-AC25</f>
        <v>-4124.5599999999977</v>
      </c>
      <c r="AG25" s="3">
        <v>25</v>
      </c>
      <c r="AH25" s="16">
        <v>153466.5</v>
      </c>
      <c r="AI25" s="38">
        <f>I25-W25</f>
        <v>-4551</v>
      </c>
      <c r="AJ25" s="49">
        <f>L25-(J25*187.48)-AH25</f>
        <v>-41578.579999999987</v>
      </c>
      <c r="AK25" s="42">
        <f t="shared" si="4"/>
        <v>279265.57999999996</v>
      </c>
      <c r="AL25" s="30">
        <f t="shared" si="5"/>
        <v>-45703.139999999956</v>
      </c>
      <c r="AM25" s="3">
        <v>25</v>
      </c>
      <c r="AO25" s="30"/>
    </row>
    <row r="26" spans="1:41" ht="15" x14ac:dyDescent="0.25">
      <c r="A26" s="3">
        <v>52</v>
      </c>
      <c r="B26" s="3">
        <v>35</v>
      </c>
      <c r="C26" s="10">
        <v>76</v>
      </c>
      <c r="D26" s="10">
        <v>8328</v>
      </c>
      <c r="E26" s="10">
        <v>2437</v>
      </c>
      <c r="F26" s="10">
        <v>6058</v>
      </c>
      <c r="G26" s="10">
        <v>12973</v>
      </c>
      <c r="H26" s="10">
        <v>3726</v>
      </c>
      <c r="I26" s="10">
        <f t="shared" si="6"/>
        <v>33598</v>
      </c>
      <c r="J26" s="10">
        <v>494</v>
      </c>
      <c r="L26" s="15">
        <v>202642.78</v>
      </c>
      <c r="M26" s="69" t="s">
        <v>62</v>
      </c>
      <c r="N26" s="8">
        <f t="shared" si="7"/>
        <v>1044266</v>
      </c>
      <c r="O26" s="8">
        <f t="shared" si="8"/>
        <v>13093</v>
      </c>
      <c r="P26" s="31">
        <f t="shared" si="0"/>
        <v>110027.66</v>
      </c>
      <c r="Q26" s="31">
        <f t="shared" si="1"/>
        <v>92615.12</v>
      </c>
      <c r="R26" s="31">
        <f t="shared" si="2"/>
        <v>202642.78</v>
      </c>
      <c r="T26" s="3">
        <v>52</v>
      </c>
      <c r="U26" s="24">
        <v>28211</v>
      </c>
      <c r="V26" s="24">
        <v>0</v>
      </c>
      <c r="W26" s="24">
        <v>28211</v>
      </c>
      <c r="X26" s="6">
        <v>0</v>
      </c>
      <c r="Y26" s="35">
        <v>442</v>
      </c>
      <c r="Z26" s="31">
        <v>202642.78</v>
      </c>
      <c r="AB26" s="3">
        <v>52</v>
      </c>
      <c r="AC26" s="16">
        <f t="shared" si="3"/>
        <v>82866.159999999989</v>
      </c>
      <c r="AD26" s="35">
        <f>J26-Y26</f>
        <v>52</v>
      </c>
      <c r="AE26" s="42">
        <f>(J26*187.48)-AC26</f>
        <v>9748.9600000000064</v>
      </c>
      <c r="AG26" s="3">
        <v>52</v>
      </c>
      <c r="AH26" s="16">
        <v>105831.85</v>
      </c>
      <c r="AI26" s="35">
        <f>I26-W26</f>
        <v>5387</v>
      </c>
      <c r="AJ26" s="30">
        <f>L26-(J26*187.48)-AH26</f>
        <v>4195.8099999999977</v>
      </c>
      <c r="AK26" s="42">
        <f t="shared" si="4"/>
        <v>188698.01</v>
      </c>
      <c r="AL26" s="30">
        <f t="shared" si="5"/>
        <v>13944.76999999999</v>
      </c>
      <c r="AM26" s="3">
        <v>52</v>
      </c>
      <c r="AO26" s="30"/>
    </row>
    <row r="27" spans="1:41" ht="15" x14ac:dyDescent="0.25">
      <c r="A27" s="3" t="s">
        <v>6</v>
      </c>
      <c r="B27" s="3">
        <v>1</v>
      </c>
      <c r="C27" s="10">
        <v>60</v>
      </c>
      <c r="D27" s="10">
        <v>17</v>
      </c>
      <c r="E27" s="10">
        <v>0</v>
      </c>
      <c r="F27" s="10">
        <v>213</v>
      </c>
      <c r="G27" s="10">
        <v>123</v>
      </c>
      <c r="H27" s="10">
        <v>0</v>
      </c>
      <c r="I27" s="10">
        <f t="shared" si="6"/>
        <v>413</v>
      </c>
      <c r="J27" s="10">
        <v>8</v>
      </c>
      <c r="L27" s="15">
        <v>2640.07</v>
      </c>
      <c r="M27" s="69" t="s">
        <v>62</v>
      </c>
      <c r="N27" s="8">
        <f t="shared" si="7"/>
        <v>1044679</v>
      </c>
      <c r="O27" s="8">
        <f t="shared" si="8"/>
        <v>13101</v>
      </c>
      <c r="P27" s="31">
        <f t="shared" si="0"/>
        <v>1140.2300000000002</v>
      </c>
      <c r="Q27" s="31">
        <f t="shared" si="1"/>
        <v>1499.84</v>
      </c>
      <c r="R27" s="31">
        <f t="shared" si="2"/>
        <v>2640.07</v>
      </c>
      <c r="T27" s="3" t="s">
        <v>6</v>
      </c>
      <c r="U27" s="24"/>
      <c r="V27" s="24"/>
      <c r="W27" s="24"/>
      <c r="X27" s="6"/>
      <c r="Y27" s="35"/>
      <c r="Z27" s="31"/>
      <c r="AA27" s="31">
        <v>2640.07</v>
      </c>
      <c r="AB27" s="3" t="s">
        <v>6</v>
      </c>
      <c r="AC27" s="16">
        <f t="shared" si="3"/>
        <v>0</v>
      </c>
      <c r="AD27" s="35"/>
      <c r="AE27" s="42"/>
      <c r="AG27" s="3" t="s">
        <v>6</v>
      </c>
      <c r="AH27" s="16">
        <v>0</v>
      </c>
      <c r="AI27" s="35"/>
      <c r="AJ27" s="30"/>
      <c r="AK27" s="42">
        <f t="shared" si="4"/>
        <v>0</v>
      </c>
      <c r="AL27" s="30">
        <f t="shared" si="5"/>
        <v>0</v>
      </c>
      <c r="AM27" s="3" t="s">
        <v>6</v>
      </c>
      <c r="AO27" s="30"/>
    </row>
    <row r="28" spans="1:41" ht="15" x14ac:dyDescent="0.25">
      <c r="A28" s="3" t="s">
        <v>7</v>
      </c>
      <c r="B28" s="3">
        <v>22</v>
      </c>
      <c r="C28" s="10">
        <f>515-515</f>
        <v>0</v>
      </c>
      <c r="D28" s="10">
        <f>2955-2955</f>
        <v>0</v>
      </c>
      <c r="E28" s="10">
        <f>354-354</f>
        <v>0</v>
      </c>
      <c r="F28" s="10">
        <v>0</v>
      </c>
      <c r="G28" s="10">
        <v>0</v>
      </c>
      <c r="H28" s="10">
        <v>0</v>
      </c>
      <c r="I28" s="10">
        <f t="shared" si="6"/>
        <v>0</v>
      </c>
      <c r="J28" s="10">
        <f>31-31</f>
        <v>0</v>
      </c>
      <c r="L28" s="15">
        <f>12413.93-12413.93</f>
        <v>0</v>
      </c>
      <c r="M28" s="69" t="s">
        <v>62</v>
      </c>
      <c r="N28" s="8">
        <f t="shared" si="7"/>
        <v>1044679</v>
      </c>
      <c r="O28" s="8">
        <f t="shared" si="8"/>
        <v>13101</v>
      </c>
      <c r="P28" s="31">
        <f t="shared" si="0"/>
        <v>0</v>
      </c>
      <c r="Q28" s="31">
        <f t="shared" si="1"/>
        <v>0</v>
      </c>
      <c r="R28" s="31">
        <f t="shared" si="2"/>
        <v>0</v>
      </c>
      <c r="T28" s="3" t="s">
        <v>7</v>
      </c>
      <c r="U28" s="24"/>
      <c r="V28" s="24"/>
      <c r="W28" s="24"/>
      <c r="X28" s="6"/>
      <c r="Y28" s="35"/>
      <c r="AA28" s="31">
        <f>12413.93-12413.93</f>
        <v>0</v>
      </c>
      <c r="AB28" s="3" t="s">
        <v>7</v>
      </c>
      <c r="AC28" s="16">
        <f t="shared" si="3"/>
        <v>0</v>
      </c>
      <c r="AD28" s="35"/>
      <c r="AE28" s="42"/>
      <c r="AG28" s="3" t="s">
        <v>7</v>
      </c>
      <c r="AH28" s="16">
        <v>0</v>
      </c>
      <c r="AI28" s="35"/>
      <c r="AJ28" s="30"/>
      <c r="AK28" s="42">
        <f t="shared" si="4"/>
        <v>0</v>
      </c>
      <c r="AL28" s="30">
        <f t="shared" si="5"/>
        <v>0</v>
      </c>
      <c r="AM28" s="3" t="s">
        <v>7</v>
      </c>
      <c r="AO28" s="30"/>
    </row>
    <row r="29" spans="1:41" ht="15" x14ac:dyDescent="0.25">
      <c r="A29" s="3">
        <v>31</v>
      </c>
      <c r="B29" s="3">
        <v>21</v>
      </c>
      <c r="C29" s="10">
        <v>0</v>
      </c>
      <c r="D29" s="10">
        <v>10130</v>
      </c>
      <c r="E29" s="10">
        <v>5638</v>
      </c>
      <c r="F29" s="10">
        <v>16709</v>
      </c>
      <c r="G29" s="10">
        <v>0</v>
      </c>
      <c r="H29" s="10">
        <v>0</v>
      </c>
      <c r="I29" s="10">
        <f t="shared" si="6"/>
        <v>32477</v>
      </c>
      <c r="J29" s="10">
        <v>335</v>
      </c>
      <c r="L29" s="15">
        <v>135001.07999999999</v>
      </c>
      <c r="M29" s="69" t="s">
        <v>62</v>
      </c>
      <c r="N29" s="8">
        <f t="shared" si="7"/>
        <v>1077156</v>
      </c>
      <c r="O29" s="8">
        <f t="shared" si="8"/>
        <v>13436</v>
      </c>
      <c r="P29" s="31">
        <f t="shared" si="0"/>
        <v>72195.28</v>
      </c>
      <c r="Q29" s="31">
        <f t="shared" si="1"/>
        <v>62805.799999999996</v>
      </c>
      <c r="R29" s="31">
        <f t="shared" si="2"/>
        <v>135001.07999999999</v>
      </c>
      <c r="T29" s="3">
        <v>31</v>
      </c>
      <c r="U29" s="24">
        <v>32215</v>
      </c>
      <c r="V29" s="24">
        <v>404</v>
      </c>
      <c r="W29" s="24">
        <v>31811</v>
      </c>
      <c r="X29" s="6">
        <v>3</v>
      </c>
      <c r="Y29" s="35">
        <v>326</v>
      </c>
      <c r="Z29" s="31">
        <v>135001.07999999999</v>
      </c>
      <c r="AB29" s="3">
        <v>31</v>
      </c>
      <c r="AC29" s="16">
        <f t="shared" si="3"/>
        <v>61118.479999999996</v>
      </c>
      <c r="AD29" s="35">
        <f>J29-Y29</f>
        <v>9</v>
      </c>
      <c r="AE29" s="42">
        <f>(J29*187.48)-AC29</f>
        <v>1687.3199999999997</v>
      </c>
      <c r="AG29" s="3">
        <v>31</v>
      </c>
      <c r="AH29" s="16">
        <v>76633.02</v>
      </c>
      <c r="AI29" s="35">
        <f>I29-W29</f>
        <v>666</v>
      </c>
      <c r="AJ29" s="49">
        <f>L29-(J29*187.48)-AH29</f>
        <v>-4437.7400000000052</v>
      </c>
      <c r="AK29" s="42">
        <f t="shared" si="4"/>
        <v>137751.5</v>
      </c>
      <c r="AL29" s="30">
        <f t="shared" si="5"/>
        <v>-2750.4200000000128</v>
      </c>
      <c r="AM29" s="3">
        <v>31</v>
      </c>
      <c r="AO29" s="30"/>
    </row>
    <row r="30" spans="1:41" ht="15" x14ac:dyDescent="0.25">
      <c r="A30" s="3">
        <v>35</v>
      </c>
      <c r="B30" s="3">
        <v>25</v>
      </c>
      <c r="C30" s="10">
        <v>4574</v>
      </c>
      <c r="D30" s="10">
        <v>39498</v>
      </c>
      <c r="E30" s="10">
        <v>13456</v>
      </c>
      <c r="F30" s="10">
        <v>11359</v>
      </c>
      <c r="G30" s="10">
        <v>6695</v>
      </c>
      <c r="H30" s="10">
        <v>5808</v>
      </c>
      <c r="I30" s="10">
        <f t="shared" si="6"/>
        <v>81390</v>
      </c>
      <c r="J30" s="10">
        <v>974</v>
      </c>
      <c r="L30" s="15">
        <v>380562.05</v>
      </c>
      <c r="M30" s="69" t="s">
        <v>62</v>
      </c>
      <c r="N30" s="8">
        <f t="shared" si="7"/>
        <v>1158546</v>
      </c>
      <c r="O30" s="8">
        <f t="shared" si="8"/>
        <v>14410</v>
      </c>
      <c r="P30" s="31">
        <f t="shared" si="0"/>
        <v>197956.53</v>
      </c>
      <c r="Q30" s="31">
        <f t="shared" si="1"/>
        <v>182605.52</v>
      </c>
      <c r="R30" s="31">
        <f t="shared" si="2"/>
        <v>380562.05</v>
      </c>
      <c r="T30" s="3">
        <v>35</v>
      </c>
      <c r="U30" s="24">
        <v>90148</v>
      </c>
      <c r="V30" s="24">
        <v>389</v>
      </c>
      <c r="W30" s="24">
        <v>89759</v>
      </c>
      <c r="X30" s="6">
        <v>2</v>
      </c>
      <c r="Y30" s="35">
        <v>1080</v>
      </c>
      <c r="Z30" s="15">
        <f>380562.05+34472.33</f>
        <v>415034.38</v>
      </c>
      <c r="AB30" s="3">
        <v>35</v>
      </c>
      <c r="AC30" s="16">
        <f>Y30*187.48</f>
        <v>202478.4</v>
      </c>
      <c r="AD30" s="38">
        <f>J30+J35-Y30</f>
        <v>-10</v>
      </c>
      <c r="AE30" s="41">
        <f>((J30+J35)*187.48)-AC30</f>
        <v>-1874.8000000000175</v>
      </c>
      <c r="AG30" s="3">
        <v>35</v>
      </c>
      <c r="AH30" s="16">
        <v>230161.24</v>
      </c>
      <c r="AI30" s="38">
        <f>I30+I35-W30</f>
        <v>-615</v>
      </c>
      <c r="AJ30" s="49">
        <f>L30+L35-((J30+J35)*187.48)-AH30</f>
        <v>-15730.459999999963</v>
      </c>
      <c r="AK30" s="42">
        <f t="shared" si="4"/>
        <v>432639.64</v>
      </c>
      <c r="AL30" s="30">
        <f t="shared" si="5"/>
        <v>-17605.260000000009</v>
      </c>
      <c r="AM30" s="3">
        <v>35</v>
      </c>
      <c r="AO30" s="30"/>
    </row>
    <row r="31" spans="1:41" ht="15" x14ac:dyDescent="0.25">
      <c r="A31" s="3">
        <v>23</v>
      </c>
      <c r="B31" s="3">
        <v>16</v>
      </c>
      <c r="C31" s="10">
        <v>2188</v>
      </c>
      <c r="D31" s="10">
        <v>5259</v>
      </c>
      <c r="E31" s="10">
        <v>1700</v>
      </c>
      <c r="F31" s="10">
        <v>1012</v>
      </c>
      <c r="G31" s="10">
        <v>1246</v>
      </c>
      <c r="H31" s="10">
        <v>0</v>
      </c>
      <c r="I31" s="10">
        <f t="shared" si="6"/>
        <v>11405</v>
      </c>
      <c r="J31" s="10">
        <v>140</v>
      </c>
      <c r="L31" s="15">
        <v>49404.46</v>
      </c>
      <c r="M31" s="69" t="s">
        <v>62</v>
      </c>
      <c r="N31" s="8">
        <f t="shared" si="7"/>
        <v>1169951</v>
      </c>
      <c r="O31" s="8">
        <f t="shared" si="8"/>
        <v>14550</v>
      </c>
      <c r="P31" s="31">
        <f t="shared" si="0"/>
        <v>23157.260000000002</v>
      </c>
      <c r="Q31" s="31">
        <f t="shared" si="1"/>
        <v>26247.199999999997</v>
      </c>
      <c r="R31" s="31">
        <f t="shared" si="2"/>
        <v>49404.46</v>
      </c>
      <c r="T31" s="3">
        <v>23</v>
      </c>
      <c r="U31" s="24">
        <v>17880</v>
      </c>
      <c r="V31" s="24">
        <v>0</v>
      </c>
      <c r="W31" s="24">
        <v>17880</v>
      </c>
      <c r="X31" s="6">
        <v>0</v>
      </c>
      <c r="Y31" s="35">
        <v>240</v>
      </c>
      <c r="Z31" s="31">
        <f>49404.46+36435.02</f>
        <v>85839.48</v>
      </c>
      <c r="AB31" s="3">
        <v>23</v>
      </c>
      <c r="AC31" s="16">
        <f t="shared" si="3"/>
        <v>44995.199999999997</v>
      </c>
      <c r="AD31" s="40">
        <f>J31+J34-Y31</f>
        <v>11</v>
      </c>
      <c r="AE31" s="42">
        <f>((J31+J34)*187.48)-AC31</f>
        <v>2062.2799999999988</v>
      </c>
      <c r="AG31" s="3">
        <v>23</v>
      </c>
      <c r="AH31" s="16">
        <v>34658.519999999997</v>
      </c>
      <c r="AI31" s="40">
        <f>I31+I34-W31</f>
        <v>1460</v>
      </c>
      <c r="AJ31" s="67">
        <f>L31+L34-((J31+J34)*187.48)-AH31</f>
        <v>4123.4800000000032</v>
      </c>
      <c r="AK31" s="42">
        <f t="shared" si="4"/>
        <v>79653.72</v>
      </c>
      <c r="AL31" s="30">
        <f t="shared" si="5"/>
        <v>6185.7599999999948</v>
      </c>
      <c r="AM31" s="3">
        <v>23</v>
      </c>
      <c r="AO31" s="30"/>
    </row>
    <row r="32" spans="1:41" ht="15" x14ac:dyDescent="0.25">
      <c r="A32" s="3">
        <v>18</v>
      </c>
      <c r="B32" s="3">
        <v>13</v>
      </c>
      <c r="C32" s="10">
        <v>0</v>
      </c>
      <c r="D32" s="10">
        <v>3192</v>
      </c>
      <c r="E32" s="10">
        <v>223</v>
      </c>
      <c r="F32" s="10">
        <v>0</v>
      </c>
      <c r="G32" s="10">
        <v>0</v>
      </c>
      <c r="H32" s="10">
        <v>0</v>
      </c>
      <c r="I32" s="10">
        <f t="shared" si="6"/>
        <v>3415</v>
      </c>
      <c r="J32" s="10">
        <v>70</v>
      </c>
      <c r="L32" s="14">
        <v>19048.689999999999</v>
      </c>
      <c r="M32" s="70" t="s">
        <v>62</v>
      </c>
      <c r="N32" s="8">
        <f t="shared" si="7"/>
        <v>1173366</v>
      </c>
      <c r="O32" s="8">
        <f t="shared" si="8"/>
        <v>14620</v>
      </c>
      <c r="P32" s="31">
        <f t="shared" si="0"/>
        <v>5925.09</v>
      </c>
      <c r="Q32" s="31">
        <f t="shared" si="1"/>
        <v>13123.599999999999</v>
      </c>
      <c r="R32" s="31">
        <f t="shared" si="2"/>
        <v>19048.689999999999</v>
      </c>
      <c r="T32" s="3">
        <v>18</v>
      </c>
      <c r="U32" s="24"/>
      <c r="V32" s="24"/>
      <c r="W32" s="24"/>
      <c r="X32" s="6"/>
      <c r="Y32" s="35"/>
      <c r="Z32" s="31">
        <f>19048.69+23216.5</f>
        <v>42265.19</v>
      </c>
      <c r="AB32" s="3">
        <v>18</v>
      </c>
      <c r="AC32" s="16">
        <f>Y32*187.48</f>
        <v>0</v>
      </c>
      <c r="AD32" s="35">
        <f>J32-Y32</f>
        <v>70</v>
      </c>
      <c r="AE32" s="42">
        <f>(J32*187.48)-AC32</f>
        <v>13123.599999999999</v>
      </c>
      <c r="AG32" s="3">
        <v>18</v>
      </c>
      <c r="AH32" s="16">
        <v>0</v>
      </c>
      <c r="AI32" s="35">
        <f>I32-W32</f>
        <v>3415</v>
      </c>
      <c r="AJ32" s="67">
        <f>L32-(J32*187.48)-AH32</f>
        <v>5925.09</v>
      </c>
      <c r="AK32" s="42">
        <f t="shared" si="4"/>
        <v>0</v>
      </c>
      <c r="AL32" s="30">
        <f t="shared" si="5"/>
        <v>42265.19</v>
      </c>
      <c r="AM32" s="3">
        <v>18</v>
      </c>
      <c r="AO32" s="30"/>
    </row>
    <row r="33" spans="1:41" ht="15" x14ac:dyDescent="0.25">
      <c r="A33" s="3" t="s">
        <v>8</v>
      </c>
      <c r="B33" s="3">
        <v>13</v>
      </c>
      <c r="C33" s="10">
        <v>0</v>
      </c>
      <c r="D33" s="10">
        <v>3743</v>
      </c>
      <c r="E33" s="10">
        <v>0</v>
      </c>
      <c r="F33" s="10">
        <v>751</v>
      </c>
      <c r="G33" s="10">
        <v>0</v>
      </c>
      <c r="H33" s="10">
        <v>0</v>
      </c>
      <c r="I33" s="10">
        <f t="shared" si="6"/>
        <v>4494</v>
      </c>
      <c r="J33" s="10">
        <v>79</v>
      </c>
      <c r="L33" s="15">
        <v>23216.5</v>
      </c>
      <c r="M33" s="6" t="s">
        <v>16</v>
      </c>
      <c r="N33" s="8">
        <f t="shared" si="7"/>
        <v>1177860</v>
      </c>
      <c r="O33" s="8">
        <f t="shared" si="8"/>
        <v>14699</v>
      </c>
      <c r="P33" s="31">
        <f t="shared" si="0"/>
        <v>8405.58</v>
      </c>
      <c r="Q33" s="31">
        <f t="shared" si="1"/>
        <v>14810.92</v>
      </c>
      <c r="R33" s="31">
        <f t="shared" si="2"/>
        <v>23216.5</v>
      </c>
      <c r="T33" s="3" t="s">
        <v>8</v>
      </c>
      <c r="U33" s="24">
        <v>6450</v>
      </c>
      <c r="V33" s="24">
        <v>0</v>
      </c>
      <c r="W33" s="24">
        <v>6450</v>
      </c>
      <c r="X33" s="6">
        <v>0</v>
      </c>
      <c r="Y33" s="35">
        <v>117</v>
      </c>
      <c r="Z33" s="31"/>
      <c r="AA33" s="31">
        <v>23216.5</v>
      </c>
      <c r="AB33" s="3" t="s">
        <v>8</v>
      </c>
      <c r="AC33" s="16">
        <f>Y33*187.48</f>
        <v>21935.16</v>
      </c>
      <c r="AD33" s="65">
        <f>J33-Y33</f>
        <v>-38</v>
      </c>
      <c r="AE33" s="41">
        <f>(J33*187.48)-AC33</f>
        <v>-7124.24</v>
      </c>
      <c r="AG33" s="3" t="s">
        <v>8</v>
      </c>
      <c r="AH33" s="16">
        <v>11715.67</v>
      </c>
      <c r="AI33" s="65">
        <f>I33-W33</f>
        <v>-1956</v>
      </c>
      <c r="AJ33" s="49">
        <f>L33-(J33*187.48)-AH33</f>
        <v>-3310.09</v>
      </c>
      <c r="AK33" s="42">
        <f t="shared" si="4"/>
        <v>33650.83</v>
      </c>
      <c r="AL33" s="30">
        <f t="shared" si="5"/>
        <v>-33650.83</v>
      </c>
      <c r="AM33" s="3" t="s">
        <v>8</v>
      </c>
      <c r="AO33" s="30"/>
    </row>
    <row r="34" spans="1:41" ht="15" x14ac:dyDescent="0.25">
      <c r="A34" s="3" t="s">
        <v>9</v>
      </c>
      <c r="B34" s="3">
        <v>16</v>
      </c>
      <c r="C34" s="10">
        <v>0</v>
      </c>
      <c r="D34" s="10">
        <v>4727</v>
      </c>
      <c r="E34" s="10">
        <v>1953</v>
      </c>
      <c r="F34" s="10">
        <v>890</v>
      </c>
      <c r="G34" s="10">
        <v>365</v>
      </c>
      <c r="H34" s="10">
        <v>0</v>
      </c>
      <c r="I34" s="10">
        <f t="shared" si="6"/>
        <v>7935</v>
      </c>
      <c r="J34" s="10">
        <v>111</v>
      </c>
      <c r="L34" s="15">
        <v>36435.019999999997</v>
      </c>
      <c r="M34" s="6" t="s">
        <v>16</v>
      </c>
      <c r="N34" s="8">
        <f t="shared" si="7"/>
        <v>1185795</v>
      </c>
      <c r="O34" s="8">
        <f t="shared" si="8"/>
        <v>14810</v>
      </c>
      <c r="P34" s="31">
        <f t="shared" si="0"/>
        <v>15624.739999999998</v>
      </c>
      <c r="Q34" s="31">
        <f t="shared" si="1"/>
        <v>20810.28</v>
      </c>
      <c r="R34" s="31">
        <f t="shared" si="2"/>
        <v>36435.019999999997</v>
      </c>
      <c r="T34" s="3" t="s">
        <v>9</v>
      </c>
      <c r="U34" s="24"/>
      <c r="V34" s="24"/>
      <c r="W34" s="24"/>
      <c r="X34" s="6"/>
      <c r="Y34" s="35"/>
      <c r="Z34" s="31"/>
      <c r="AA34" s="15">
        <v>36435.019999999997</v>
      </c>
      <c r="AB34" s="3" t="s">
        <v>9</v>
      </c>
      <c r="AC34" s="16">
        <f t="shared" si="3"/>
        <v>0</v>
      </c>
      <c r="AD34" s="35"/>
      <c r="AE34" s="42"/>
      <c r="AG34" s="3" t="s">
        <v>9</v>
      </c>
      <c r="AH34" s="16">
        <v>0</v>
      </c>
      <c r="AI34" s="35"/>
      <c r="AJ34" s="30"/>
      <c r="AK34" s="42">
        <f t="shared" si="4"/>
        <v>0</v>
      </c>
      <c r="AL34" s="30">
        <f t="shared" si="5"/>
        <v>0</v>
      </c>
      <c r="AM34" s="3" t="s">
        <v>9</v>
      </c>
      <c r="AO34" s="30"/>
    </row>
    <row r="35" spans="1:41" ht="15" x14ac:dyDescent="0.25">
      <c r="A35" s="3" t="s">
        <v>10</v>
      </c>
      <c r="B35" s="3">
        <v>25</v>
      </c>
      <c r="C35" s="10">
        <v>0</v>
      </c>
      <c r="D35" s="10">
        <v>3578</v>
      </c>
      <c r="E35" s="10">
        <v>1005</v>
      </c>
      <c r="F35" s="10">
        <v>3123</v>
      </c>
      <c r="G35" s="10">
        <v>48</v>
      </c>
      <c r="H35" s="10">
        <v>0</v>
      </c>
      <c r="I35" s="10">
        <f t="shared" si="6"/>
        <v>7754</v>
      </c>
      <c r="J35" s="10">
        <v>96</v>
      </c>
      <c r="L35" s="15">
        <v>34472.33</v>
      </c>
      <c r="M35" s="6" t="s">
        <v>16</v>
      </c>
      <c r="N35" s="8">
        <f t="shared" si="7"/>
        <v>1193549</v>
      </c>
      <c r="O35" s="8">
        <f t="shared" si="8"/>
        <v>14906</v>
      </c>
      <c r="P35" s="31">
        <f t="shared" si="0"/>
        <v>16474.250000000004</v>
      </c>
      <c r="Q35" s="31">
        <f t="shared" si="1"/>
        <v>17998.079999999998</v>
      </c>
      <c r="R35" s="31">
        <f t="shared" si="2"/>
        <v>34472.33</v>
      </c>
      <c r="T35" s="3" t="s">
        <v>10</v>
      </c>
      <c r="AA35" s="31">
        <v>34472.33</v>
      </c>
      <c r="AB35" s="3" t="s">
        <v>10</v>
      </c>
      <c r="AC35" s="16">
        <f t="shared" si="3"/>
        <v>0</v>
      </c>
      <c r="AG35" s="3" t="s">
        <v>10</v>
      </c>
      <c r="AH35" s="16">
        <v>0</v>
      </c>
      <c r="AI35" s="58"/>
      <c r="AJ35" s="30"/>
      <c r="AK35" s="42">
        <f t="shared" si="4"/>
        <v>0</v>
      </c>
      <c r="AL35" s="30">
        <f t="shared" si="5"/>
        <v>0</v>
      </c>
      <c r="AM35" s="3" t="s">
        <v>10</v>
      </c>
      <c r="AO35" s="30"/>
    </row>
    <row r="36" spans="1:41" ht="15.75" thickBot="1" x14ac:dyDescent="0.3">
      <c r="A36" s="3">
        <v>3</v>
      </c>
      <c r="B36" s="3">
        <v>3</v>
      </c>
      <c r="C36" s="10">
        <v>6791</v>
      </c>
      <c r="D36" s="10">
        <v>23071</v>
      </c>
      <c r="E36" s="10">
        <v>12420</v>
      </c>
      <c r="F36" s="10">
        <v>970</v>
      </c>
      <c r="G36" s="10">
        <v>424</v>
      </c>
      <c r="H36" s="11">
        <v>2806</v>
      </c>
      <c r="I36" s="10">
        <f t="shared" si="6"/>
        <v>46482</v>
      </c>
      <c r="J36" s="10">
        <v>509</v>
      </c>
      <c r="L36" s="14">
        <v>194579.59</v>
      </c>
      <c r="M36" s="5" t="s">
        <v>16</v>
      </c>
      <c r="N36" s="8">
        <f t="shared" si="7"/>
        <v>1240031</v>
      </c>
      <c r="O36" s="8">
        <f t="shared" si="8"/>
        <v>15415</v>
      </c>
      <c r="P36" s="31">
        <f t="shared" si="0"/>
        <v>99152.27</v>
      </c>
      <c r="Q36" s="31">
        <f t="shared" si="1"/>
        <v>95427.319999999992</v>
      </c>
      <c r="R36" s="31">
        <f t="shared" si="2"/>
        <v>194579.59</v>
      </c>
      <c r="T36" s="3">
        <v>3</v>
      </c>
      <c r="U36" s="24">
        <v>41729</v>
      </c>
      <c r="V36" s="24">
        <v>0</v>
      </c>
      <c r="W36" s="24">
        <v>41729</v>
      </c>
      <c r="X36" s="6">
        <v>0</v>
      </c>
      <c r="Y36" s="35">
        <v>462</v>
      </c>
      <c r="Z36" s="31">
        <v>194579.59</v>
      </c>
      <c r="AB36" s="3">
        <v>3</v>
      </c>
      <c r="AC36" s="16">
        <f t="shared" si="3"/>
        <v>86615.76</v>
      </c>
      <c r="AD36" s="40">
        <f>J36+J39-Y36</f>
        <v>47</v>
      </c>
      <c r="AE36" s="42">
        <f>(J36*187.48)-AC36</f>
        <v>8811.5599999999977</v>
      </c>
      <c r="AG36" s="3">
        <v>3</v>
      </c>
      <c r="AH36" s="16">
        <v>93004.74</v>
      </c>
      <c r="AI36" s="40">
        <f>I36+I39-W36</f>
        <v>4753</v>
      </c>
      <c r="AJ36" s="30">
        <f>L36-(J36*187.48)-AH36</f>
        <v>6147.5299999999988</v>
      </c>
      <c r="AK36" s="42">
        <f t="shared" si="4"/>
        <v>179620.5</v>
      </c>
      <c r="AL36" s="30">
        <f t="shared" si="5"/>
        <v>14959.089999999997</v>
      </c>
      <c r="AM36" s="3">
        <v>3</v>
      </c>
      <c r="AO36" s="30"/>
    </row>
    <row r="37" spans="1:41" ht="15.75" thickBot="1" x14ac:dyDescent="0.3">
      <c r="A37" s="3">
        <v>37</v>
      </c>
      <c r="B37" s="3">
        <v>26</v>
      </c>
      <c r="C37" s="12">
        <v>270</v>
      </c>
      <c r="D37" s="12">
        <v>1925</v>
      </c>
      <c r="E37" s="12">
        <v>1396</v>
      </c>
      <c r="F37" s="12">
        <v>1330</v>
      </c>
      <c r="G37" s="12">
        <v>253</v>
      </c>
      <c r="H37" s="12">
        <v>0</v>
      </c>
      <c r="I37" s="22">
        <f t="shared" si="6"/>
        <v>5174</v>
      </c>
      <c r="J37" s="12">
        <v>154</v>
      </c>
      <c r="L37" s="14">
        <v>39763.050000000003</v>
      </c>
      <c r="M37" s="6" t="s">
        <v>17</v>
      </c>
      <c r="N37" s="20">
        <f t="shared" si="7"/>
        <v>1245205</v>
      </c>
      <c r="O37" s="21">
        <f t="shared" si="8"/>
        <v>15569</v>
      </c>
      <c r="P37" s="53">
        <f t="shared" si="0"/>
        <v>10891.130000000005</v>
      </c>
      <c r="Q37" s="44">
        <f t="shared" si="1"/>
        <v>28871.919999999998</v>
      </c>
      <c r="R37" s="44">
        <f t="shared" si="2"/>
        <v>39763.050000000003</v>
      </c>
      <c r="T37" s="3">
        <v>37</v>
      </c>
      <c r="U37" s="27">
        <v>7944</v>
      </c>
      <c r="V37" s="27">
        <v>0</v>
      </c>
      <c r="W37" s="27">
        <v>7944</v>
      </c>
      <c r="X37" s="28">
        <v>0</v>
      </c>
      <c r="Y37" s="36">
        <v>102</v>
      </c>
      <c r="Z37" s="44">
        <v>39763.050000000003</v>
      </c>
      <c r="AB37" s="3">
        <v>37</v>
      </c>
      <c r="AC37" s="32">
        <f t="shared" si="3"/>
        <v>19122.96</v>
      </c>
      <c r="AD37" s="36">
        <f>J37-Y37</f>
        <v>52</v>
      </c>
      <c r="AE37" s="45">
        <f>(J37*187.48)-AC37</f>
        <v>9748.9599999999991</v>
      </c>
      <c r="AG37" s="3">
        <v>37</v>
      </c>
      <c r="AH37" s="32">
        <v>17257.830000000002</v>
      </c>
      <c r="AI37" s="50">
        <f>I37-W37</f>
        <v>-2770</v>
      </c>
      <c r="AJ37" s="51">
        <f>L37-(J37*187.48)-AH37</f>
        <v>-6366.6999999999971</v>
      </c>
      <c r="AK37" s="45">
        <f t="shared" si="4"/>
        <v>36380.79</v>
      </c>
      <c r="AL37" s="43">
        <f t="shared" si="5"/>
        <v>3382.260000000002</v>
      </c>
      <c r="AM37" s="3">
        <v>37</v>
      </c>
      <c r="AO37" s="30"/>
    </row>
    <row r="38" spans="1:41" ht="15" x14ac:dyDescent="0.25">
      <c r="C38" s="13">
        <f>SUM(C3:C37)</f>
        <v>47100</v>
      </c>
      <c r="D38" s="13">
        <f>SUM(D2:D37)</f>
        <v>600836</v>
      </c>
      <c r="E38" s="13">
        <f>SUM(E3:E37)</f>
        <v>298976</v>
      </c>
      <c r="F38" s="13">
        <f>SUM(F3:F37)</f>
        <v>189697</v>
      </c>
      <c r="G38" s="13">
        <f>SUM(G3:G37)</f>
        <v>82547</v>
      </c>
      <c r="H38" s="13">
        <f>SUM(H3:H36)</f>
        <v>26049</v>
      </c>
      <c r="I38" s="13">
        <f>SUM(I2:I37)</f>
        <v>1245205</v>
      </c>
      <c r="J38" s="13">
        <f>SUM(J2:J37)</f>
        <v>15569</v>
      </c>
      <c r="L38" s="19">
        <f>SUM(L2:L37)</f>
        <v>5601956.5499999998</v>
      </c>
      <c r="P38" s="19">
        <f>SUM(P2:P37)</f>
        <v>2683080.4299999997</v>
      </c>
      <c r="Q38" s="19">
        <f>SUM(Q2:Q37)</f>
        <v>2918876.1199999992</v>
      </c>
      <c r="R38" s="19">
        <f>SUM(R2:R37)</f>
        <v>5601956.5499999998</v>
      </c>
      <c r="U38" s="25">
        <f t="shared" ref="U38:Z38" si="9">SUM(U2:U37)</f>
        <v>1172562.2999999998</v>
      </c>
      <c r="V38" s="25">
        <f t="shared" si="9"/>
        <v>30716</v>
      </c>
      <c r="W38" s="25">
        <f t="shared" si="9"/>
        <v>1141847</v>
      </c>
      <c r="X38" s="3">
        <f t="shared" si="9"/>
        <v>314</v>
      </c>
      <c r="Y38" s="39">
        <f t="shared" si="9"/>
        <v>14181</v>
      </c>
      <c r="Z38" s="19">
        <f t="shared" si="9"/>
        <v>5601956.5500000017</v>
      </c>
      <c r="AC38" s="19">
        <f>SUM(AC2:AC37)</f>
        <v>2658653.88</v>
      </c>
      <c r="AD38" s="37">
        <f>SUM(AD2:AD37)</f>
        <v>1388</v>
      </c>
      <c r="AE38" s="19">
        <f>SUM(AE2:AE37)</f>
        <v>260222.24</v>
      </c>
      <c r="AH38" s="19">
        <f>SUM(AH2:AH37)</f>
        <v>2597777.44</v>
      </c>
      <c r="AI38" s="37">
        <f>SUM(AI2:AI37)</f>
        <v>103358</v>
      </c>
      <c r="AJ38" s="19">
        <f>SUM(AJ2:AJ37)</f>
        <v>85302.990000000238</v>
      </c>
      <c r="AK38" s="19">
        <f>SUM(AK2:AK37)</f>
        <v>5256431.3199999984</v>
      </c>
      <c r="AL38" s="19">
        <f>SUM(AL2:AL37)</f>
        <v>345525.2300000001</v>
      </c>
      <c r="AN38" s="30"/>
      <c r="AO38" s="30"/>
    </row>
    <row r="39" spans="1:41" ht="15" x14ac:dyDescent="0.25">
      <c r="U39" s="26"/>
      <c r="V39" s="26"/>
      <c r="W39" s="26"/>
      <c r="X39" s="26"/>
      <c r="Y39" s="26"/>
    </row>
    <row r="40" spans="1:41" x14ac:dyDescent="0.3">
      <c r="A40" s="1" t="s">
        <v>21</v>
      </c>
      <c r="B40" s="3"/>
      <c r="C40" s="3"/>
      <c r="D40" s="3" t="s">
        <v>23</v>
      </c>
      <c r="E40" s="3" t="s">
        <v>24</v>
      </c>
      <c r="F40" s="3" t="s">
        <v>25</v>
      </c>
      <c r="I40" s="10"/>
      <c r="J40" s="10"/>
      <c r="P40" s="15"/>
      <c r="T40" s="1"/>
      <c r="U40" s="3">
        <v>1172562</v>
      </c>
      <c r="V40" s="3">
        <v>30716</v>
      </c>
      <c r="W40" s="3">
        <v>1141846</v>
      </c>
      <c r="X40" s="3">
        <v>314</v>
      </c>
      <c r="Y40" s="3">
        <v>14181</v>
      </c>
      <c r="Z40" s="19">
        <f>5578752.72-12413.93</f>
        <v>5566338.79</v>
      </c>
      <c r="AC40" s="18">
        <v>2658653.88</v>
      </c>
      <c r="AD40" s="13">
        <f>J38-Y38</f>
        <v>1388</v>
      </c>
      <c r="AE40" s="46">
        <f>AD40*187.48</f>
        <v>260222.24</v>
      </c>
      <c r="AH40" s="48">
        <v>2597777.4300000002</v>
      </c>
      <c r="AI40" s="13">
        <f>I38-W38</f>
        <v>103358</v>
      </c>
      <c r="AJ40" s="18">
        <f>L38-(J38*187.48)-AH40</f>
        <v>85303</v>
      </c>
      <c r="AK40" s="18">
        <v>5256431.3099999996</v>
      </c>
      <c r="AL40" s="18">
        <v>309907.46999999997</v>
      </c>
    </row>
    <row r="41" spans="1:41" x14ac:dyDescent="0.3">
      <c r="A41" s="2" t="s">
        <v>11</v>
      </c>
      <c r="B41" s="16">
        <v>35617.760000000002</v>
      </c>
      <c r="D41" s="13">
        <v>47615</v>
      </c>
      <c r="E41" s="16">
        <v>1.61</v>
      </c>
      <c r="F41" s="16">
        <v>76660.149999999994</v>
      </c>
      <c r="U41" s="3">
        <f t="shared" ref="U41:Z41" si="10">U40-U38</f>
        <v>-0.29999999981373549</v>
      </c>
      <c r="V41" s="3">
        <f t="shared" si="10"/>
        <v>0</v>
      </c>
      <c r="W41" s="3">
        <f t="shared" si="10"/>
        <v>-1</v>
      </c>
      <c r="X41" s="3">
        <f t="shared" si="10"/>
        <v>0</v>
      </c>
      <c r="Y41" s="3">
        <f t="shared" si="10"/>
        <v>0</v>
      </c>
      <c r="Z41" s="52">
        <f t="shared" si="10"/>
        <v>-35617.760000001639</v>
      </c>
      <c r="AA41" t="s">
        <v>27</v>
      </c>
      <c r="AC41" s="46">
        <f>AC40-AC38</f>
        <v>0</v>
      </c>
      <c r="AD41" s="46">
        <f>AD40-AD38</f>
        <v>0</v>
      </c>
      <c r="AE41" s="46">
        <f>AE40-AE38</f>
        <v>0</v>
      </c>
      <c r="AH41" s="48">
        <f>AH40-AH38</f>
        <v>-9.9999997764825821E-3</v>
      </c>
      <c r="AI41" s="46">
        <f>AI40-AI38</f>
        <v>0</v>
      </c>
      <c r="AJ41" s="48">
        <f>AJ40-AJ38</f>
        <v>9.9999997619306669E-3</v>
      </c>
      <c r="AK41" s="47">
        <f>AK40-AK38</f>
        <v>-9.9999988451600075E-3</v>
      </c>
      <c r="AL41" s="52">
        <f>AL40-AL38</f>
        <v>-35617.760000000126</v>
      </c>
      <c r="AM41" t="s">
        <v>27</v>
      </c>
      <c r="AO41" s="30"/>
    </row>
    <row r="42" spans="1:41" x14ac:dyDescent="0.3">
      <c r="A42" s="2" t="s">
        <v>12</v>
      </c>
      <c r="B42" s="16">
        <v>357781.11</v>
      </c>
      <c r="D42" s="13">
        <v>603791</v>
      </c>
      <c r="E42" s="16">
        <v>1.72</v>
      </c>
      <c r="F42" s="16">
        <v>1038520.52</v>
      </c>
      <c r="Z42" s="19">
        <f>Z40-Z41</f>
        <v>5601956.5500000017</v>
      </c>
      <c r="AD42" s="23"/>
      <c r="AE42" s="23"/>
      <c r="AI42" s="23"/>
      <c r="AL42" s="19">
        <f>AL40-AL41</f>
        <v>345525.2300000001</v>
      </c>
    </row>
    <row r="43" spans="1:41" x14ac:dyDescent="0.3">
      <c r="A43" s="2" t="s">
        <v>13</v>
      </c>
      <c r="B43" s="16">
        <v>2319739.66</v>
      </c>
      <c r="D43" s="13">
        <v>299330</v>
      </c>
      <c r="E43" s="16">
        <v>1.95</v>
      </c>
      <c r="F43" s="16">
        <v>583693.5</v>
      </c>
      <c r="O43" s="16"/>
      <c r="P43" s="15"/>
      <c r="AH43" s="57" t="s">
        <v>42</v>
      </c>
      <c r="AK43" s="30"/>
    </row>
    <row r="44" spans="1:41" x14ac:dyDescent="0.3">
      <c r="A44" s="2" t="s">
        <v>14</v>
      </c>
      <c r="B44" s="16">
        <v>1237911.93</v>
      </c>
      <c r="D44" s="13">
        <v>189697</v>
      </c>
      <c r="E44" s="16">
        <v>2.62</v>
      </c>
      <c r="F44" s="16">
        <v>497006.14</v>
      </c>
      <c r="AC44" s="30"/>
      <c r="AL44" s="30"/>
    </row>
    <row r="45" spans="1:41" x14ac:dyDescent="0.3">
      <c r="A45" s="2" t="s">
        <v>15</v>
      </c>
      <c r="B45" s="16">
        <v>1334853.53</v>
      </c>
      <c r="D45" s="13">
        <v>82547</v>
      </c>
      <c r="E45" s="16">
        <v>3.71</v>
      </c>
      <c r="F45" s="16">
        <v>306249.37</v>
      </c>
      <c r="AD45" s="30"/>
      <c r="AE45" s="30"/>
      <c r="AH45" s="30"/>
      <c r="AJ45" s="30"/>
      <c r="AK45" s="30"/>
    </row>
    <row r="46" spans="1:41" ht="15" thickBot="1" x14ac:dyDescent="0.35">
      <c r="A46" s="2" t="s">
        <v>16</v>
      </c>
      <c r="B46" s="16">
        <v>288703.44</v>
      </c>
      <c r="D46" s="13">
        <v>26049</v>
      </c>
      <c r="E46" s="16">
        <v>7.2</v>
      </c>
      <c r="F46" s="16">
        <v>187552.8</v>
      </c>
      <c r="Y46" s="66"/>
      <c r="Z46" s="15"/>
      <c r="AC46" s="30"/>
      <c r="AI46" s="30"/>
      <c r="AJ46" s="30"/>
      <c r="AK46" s="75" t="s">
        <v>66</v>
      </c>
      <c r="AL46" s="75">
        <f>AK40</f>
        <v>5256431.3099999996</v>
      </c>
    </row>
    <row r="47" spans="1:41" x14ac:dyDescent="0.3">
      <c r="A47" s="2" t="s">
        <v>17</v>
      </c>
      <c r="B47" s="68">
        <v>39763.050000000003</v>
      </c>
      <c r="D47" s="13">
        <v>15600</v>
      </c>
      <c r="E47" s="16">
        <v>187.48</v>
      </c>
      <c r="F47" s="17">
        <v>2924688</v>
      </c>
    </row>
    <row r="48" spans="1:41" x14ac:dyDescent="0.3">
      <c r="A48" s="2" t="s">
        <v>61</v>
      </c>
      <c r="B48" s="17">
        <v>-12413.93</v>
      </c>
      <c r="F48" s="18">
        <f>SUM(F41:F47)</f>
        <v>5614370.4800000004</v>
      </c>
      <c r="T48" s="1"/>
      <c r="AK48" s="73" t="s">
        <v>67</v>
      </c>
      <c r="AL48" s="73">
        <f>AL46*0.25-451.61</f>
        <v>1313656.2174999998</v>
      </c>
    </row>
    <row r="49" spans="1:38" x14ac:dyDescent="0.3">
      <c r="A49" s="1" t="s">
        <v>22</v>
      </c>
      <c r="B49" s="18">
        <f>SUM(B41:B48)</f>
        <v>5601956.5500000007</v>
      </c>
      <c r="D49" s="10"/>
      <c r="AJ49" s="30"/>
      <c r="AK49" s="74" t="s">
        <v>63</v>
      </c>
      <c r="AL49" s="73">
        <f>AL40</f>
        <v>309907.46999999997</v>
      </c>
    </row>
    <row r="50" spans="1:38" x14ac:dyDescent="0.3">
      <c r="AK50" s="73" t="s">
        <v>64</v>
      </c>
      <c r="AL50" s="73">
        <f>-AL41</f>
        <v>35617.760000000126</v>
      </c>
    </row>
    <row r="51" spans="1:38" x14ac:dyDescent="0.3">
      <c r="AK51" s="73" t="s">
        <v>65</v>
      </c>
      <c r="AL51" s="76">
        <f>SUM(AL48:AL50)</f>
        <v>1659181.4474999998</v>
      </c>
    </row>
    <row r="52" spans="1:38" x14ac:dyDescent="0.3">
      <c r="AK52" t="s">
        <v>68</v>
      </c>
    </row>
  </sheetData>
  <phoneticPr fontId="0" type="noConversion"/>
  <pageMargins left="0.7" right="0.7" top="0.75" bottom="0.75" header="0.3" footer="0.3"/>
  <pageSetup scale="66" fitToHeight="0" orientation="portrait" r:id="rId1"/>
  <headerFooter alignWithMargins="0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115" zoomScaleNormal="115" workbookViewId="0"/>
  </sheetViews>
  <sheetFormatPr defaultRowHeight="14.4" x14ac:dyDescent="0.3"/>
  <cols>
    <col min="1" max="2" width="15.6640625" style="2" customWidth="1"/>
    <col min="3" max="3" width="15.5546875" style="6" customWidth="1"/>
    <col min="4" max="4" width="13.44140625" style="6" customWidth="1"/>
    <col min="5" max="5" width="10.109375" style="6" customWidth="1"/>
    <col min="6" max="7" width="15.88671875" style="6" customWidth="1"/>
    <col min="8" max="8" width="9.109375" style="6"/>
    <col min="9" max="10" width="10.109375" style="6" customWidth="1"/>
    <col min="12" max="12" width="15.88671875" style="9" customWidth="1"/>
    <col min="13" max="13" width="12.88671875" style="6" customWidth="1"/>
    <col min="14" max="15" width="15.6640625" style="6" customWidth="1"/>
  </cols>
  <sheetData>
    <row r="1" spans="1:15" ht="15" x14ac:dyDescent="0.25">
      <c r="A1" s="1" t="s">
        <v>31</v>
      </c>
      <c r="B1" s="1" t="s">
        <v>26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32</v>
      </c>
      <c r="J1" s="3" t="s">
        <v>28</v>
      </c>
      <c r="L1" s="7" t="s">
        <v>18</v>
      </c>
      <c r="M1" s="4" t="s">
        <v>30</v>
      </c>
      <c r="N1" s="3" t="s">
        <v>45</v>
      </c>
      <c r="O1" s="3" t="s">
        <v>46</v>
      </c>
    </row>
    <row r="2" spans="1:15" ht="15" x14ac:dyDescent="0.25">
      <c r="A2" s="3" t="s">
        <v>27</v>
      </c>
      <c r="B2" s="3" t="s">
        <v>27</v>
      </c>
      <c r="C2" s="10">
        <v>0</v>
      </c>
      <c r="D2" s="10">
        <v>9808</v>
      </c>
      <c r="E2" s="10">
        <v>0</v>
      </c>
      <c r="F2" s="10">
        <v>0</v>
      </c>
      <c r="G2" s="10">
        <v>0</v>
      </c>
      <c r="H2" s="10">
        <v>0</v>
      </c>
      <c r="I2" s="10">
        <f>SUM(C2:H2)</f>
        <v>9808</v>
      </c>
      <c r="J2" s="10">
        <v>100</v>
      </c>
      <c r="L2" s="14">
        <v>35617.760000000002</v>
      </c>
      <c r="M2" s="5" t="s">
        <v>11</v>
      </c>
      <c r="N2" s="54">
        <f>C2*$E$41+D2*$E$42+E2*$E$43+F2*$E$44+G2*$E$45+H2*$E$46</f>
        <v>16869.759999999998</v>
      </c>
      <c r="O2" s="54">
        <f>J2*$E$47</f>
        <v>18748</v>
      </c>
    </row>
    <row r="3" spans="1:15" ht="15" x14ac:dyDescent="0.25">
      <c r="A3" s="3">
        <v>7</v>
      </c>
      <c r="B3" s="3">
        <v>6</v>
      </c>
      <c r="C3" s="10">
        <v>4834</v>
      </c>
      <c r="D3" s="10">
        <v>48699</v>
      </c>
      <c r="E3" s="10">
        <v>12430</v>
      </c>
      <c r="F3" s="10">
        <v>10981</v>
      </c>
      <c r="G3" s="10">
        <v>2499</v>
      </c>
      <c r="H3" s="10">
        <v>49</v>
      </c>
      <c r="I3" s="10">
        <f t="shared" ref="I3:I37" si="0">SUM(C3:H3)</f>
        <v>79492</v>
      </c>
      <c r="J3" s="10">
        <v>1086</v>
      </c>
      <c r="L3" s="14">
        <v>357781.11</v>
      </c>
      <c r="M3" s="5" t="s">
        <v>12</v>
      </c>
      <c r="N3" s="54">
        <f t="shared" ref="N3:N37" si="1">C3*$E$41+D3*$E$42+E3*$E$43+F3*$E$44+G3*$E$45+H3*$E$46</f>
        <v>154177.82999999999</v>
      </c>
      <c r="O3" s="54">
        <f t="shared" ref="O3:O37" si="2">J3*$E$47</f>
        <v>203603.28</v>
      </c>
    </row>
    <row r="4" spans="1:15" ht="15" x14ac:dyDescent="0.25">
      <c r="A4" s="3">
        <v>5</v>
      </c>
      <c r="B4" s="3">
        <v>4</v>
      </c>
      <c r="C4" s="10">
        <v>2634</v>
      </c>
      <c r="D4" s="10">
        <v>34247</v>
      </c>
      <c r="E4" s="10">
        <v>9944</v>
      </c>
      <c r="F4" s="10">
        <v>7595</v>
      </c>
      <c r="G4" s="10">
        <v>2322</v>
      </c>
      <c r="H4" s="10">
        <v>0</v>
      </c>
      <c r="I4" s="10">
        <f t="shared" si="0"/>
        <v>56742</v>
      </c>
      <c r="J4" s="10">
        <v>649</v>
      </c>
      <c r="L4" s="15">
        <v>232724.42</v>
      </c>
      <c r="M4" s="6" t="s">
        <v>13</v>
      </c>
      <c r="N4" s="54">
        <f t="shared" si="1"/>
        <v>111049.9</v>
      </c>
      <c r="O4" s="54">
        <f t="shared" si="2"/>
        <v>121674.51999999999</v>
      </c>
    </row>
    <row r="5" spans="1:15" ht="15" x14ac:dyDescent="0.25">
      <c r="A5" s="3">
        <v>42</v>
      </c>
      <c r="B5" s="3">
        <v>30</v>
      </c>
      <c r="C5" s="10">
        <v>982</v>
      </c>
      <c r="D5" s="10">
        <v>76368</v>
      </c>
      <c r="E5" s="10">
        <v>40598</v>
      </c>
      <c r="F5" s="10">
        <v>22147</v>
      </c>
      <c r="G5" s="10">
        <v>7975</v>
      </c>
      <c r="H5" s="10">
        <v>30</v>
      </c>
      <c r="I5" s="10">
        <f t="shared" si="0"/>
        <v>148100</v>
      </c>
      <c r="J5" s="10">
        <v>1698</v>
      </c>
      <c r="L5" s="15">
        <v>618269.51</v>
      </c>
      <c r="M5" s="6" t="s">
        <v>13</v>
      </c>
      <c r="N5" s="54">
        <f t="shared" si="1"/>
        <v>299928.46999999997</v>
      </c>
      <c r="O5" s="54">
        <f t="shared" si="2"/>
        <v>318341.03999999998</v>
      </c>
    </row>
    <row r="6" spans="1:15" ht="15" x14ac:dyDescent="0.25">
      <c r="A6" s="3"/>
      <c r="B6" s="3"/>
      <c r="C6" s="10"/>
      <c r="D6" s="10"/>
      <c r="E6" s="10"/>
      <c r="F6" s="10"/>
      <c r="G6" s="10"/>
      <c r="H6" s="10"/>
      <c r="I6" s="10"/>
      <c r="J6" s="10"/>
      <c r="L6" s="15"/>
      <c r="N6" s="54">
        <f t="shared" si="1"/>
        <v>0</v>
      </c>
      <c r="O6" s="54">
        <f t="shared" si="2"/>
        <v>0</v>
      </c>
    </row>
    <row r="7" spans="1:15" ht="15" x14ac:dyDescent="0.25">
      <c r="A7" s="3">
        <v>33</v>
      </c>
      <c r="B7" s="3">
        <v>23</v>
      </c>
      <c r="C7" s="10">
        <v>0</v>
      </c>
      <c r="D7" s="10">
        <v>16656</v>
      </c>
      <c r="E7" s="10">
        <v>9676</v>
      </c>
      <c r="F7" s="10">
        <v>6808</v>
      </c>
      <c r="G7" s="10">
        <v>5982</v>
      </c>
      <c r="H7" s="10">
        <v>173</v>
      </c>
      <c r="I7" s="10">
        <f t="shared" si="0"/>
        <v>39295</v>
      </c>
      <c r="J7" s="10">
        <v>528</v>
      </c>
      <c r="L7" s="15">
        <v>187781.74</v>
      </c>
      <c r="M7" s="6" t="s">
        <v>13</v>
      </c>
      <c r="N7" s="54">
        <f t="shared" si="1"/>
        <v>88792.300000000017</v>
      </c>
      <c r="O7" s="54">
        <f t="shared" si="2"/>
        <v>98989.439999999988</v>
      </c>
    </row>
    <row r="8" spans="1:15" ht="15" x14ac:dyDescent="0.25">
      <c r="A8" s="3">
        <v>28</v>
      </c>
      <c r="B8" s="3">
        <v>19</v>
      </c>
      <c r="C8" s="10">
        <v>33</v>
      </c>
      <c r="D8" s="10">
        <v>19751</v>
      </c>
      <c r="E8" s="10">
        <v>4899</v>
      </c>
      <c r="F8" s="10">
        <v>5810</v>
      </c>
      <c r="G8" s="10">
        <v>9271</v>
      </c>
      <c r="H8" s="10">
        <v>1917</v>
      </c>
      <c r="I8" s="10">
        <f t="shared" si="0"/>
        <v>41681</v>
      </c>
      <c r="J8" s="10">
        <v>541</v>
      </c>
      <c r="L8" s="15">
        <v>208424.59</v>
      </c>
      <c r="M8" s="6" t="s">
        <v>13</v>
      </c>
      <c r="N8" s="54">
        <f t="shared" si="1"/>
        <v>106997.90999999997</v>
      </c>
      <c r="O8" s="54">
        <f t="shared" si="2"/>
        <v>101426.68</v>
      </c>
    </row>
    <row r="9" spans="1:15" ht="15" x14ac:dyDescent="0.25">
      <c r="A9" s="3">
        <v>40</v>
      </c>
      <c r="B9" s="3">
        <v>29</v>
      </c>
      <c r="C9" s="10">
        <v>0</v>
      </c>
      <c r="D9" s="10">
        <v>0</v>
      </c>
      <c r="E9" s="10">
        <v>15045</v>
      </c>
      <c r="F9" s="10">
        <v>231</v>
      </c>
      <c r="G9" s="10">
        <v>103</v>
      </c>
      <c r="H9" s="10">
        <v>0</v>
      </c>
      <c r="I9" s="10">
        <f t="shared" si="0"/>
        <v>15379</v>
      </c>
      <c r="J9" s="10">
        <v>72</v>
      </c>
      <c r="L9" s="15">
        <v>43823.66</v>
      </c>
      <c r="M9" s="6" t="s">
        <v>13</v>
      </c>
      <c r="N9" s="54">
        <f t="shared" si="1"/>
        <v>30325.100000000002</v>
      </c>
      <c r="O9" s="54">
        <f t="shared" si="2"/>
        <v>13498.56</v>
      </c>
    </row>
    <row r="10" spans="1:15" ht="15" x14ac:dyDescent="0.25">
      <c r="A10" s="3">
        <v>15</v>
      </c>
      <c r="B10" s="3">
        <v>10</v>
      </c>
      <c r="C10" s="10">
        <v>5725</v>
      </c>
      <c r="D10" s="10">
        <v>105648</v>
      </c>
      <c r="E10" s="10">
        <v>51350</v>
      </c>
      <c r="F10" s="10">
        <v>14595</v>
      </c>
      <c r="G10" s="10">
        <v>2778</v>
      </c>
      <c r="H10" s="10">
        <v>3367</v>
      </c>
      <c r="I10" s="10">
        <f t="shared" si="0"/>
        <v>183463</v>
      </c>
      <c r="J10" s="10">
        <v>2223</v>
      </c>
      <c r="L10" s="15">
        <v>780620.03</v>
      </c>
      <c r="M10" s="6" t="s">
        <v>13</v>
      </c>
      <c r="N10" s="54">
        <f t="shared" si="1"/>
        <v>363851.99000000005</v>
      </c>
      <c r="O10" s="54">
        <f t="shared" si="2"/>
        <v>416768.04</v>
      </c>
    </row>
    <row r="11" spans="1:15" ht="15" x14ac:dyDescent="0.25">
      <c r="A11" s="3"/>
      <c r="B11" s="3"/>
      <c r="C11" s="10"/>
      <c r="D11" s="10"/>
      <c r="E11" s="10"/>
      <c r="F11" s="10"/>
      <c r="G11" s="10"/>
      <c r="H11" s="10"/>
      <c r="I11" s="10"/>
      <c r="J11" s="10"/>
      <c r="L11" s="15"/>
      <c r="N11" s="54">
        <f t="shared" si="1"/>
        <v>0</v>
      </c>
      <c r="O11" s="54">
        <f t="shared" si="2"/>
        <v>0</v>
      </c>
    </row>
    <row r="12" spans="1:15" ht="15" x14ac:dyDescent="0.25">
      <c r="A12" s="3">
        <v>32</v>
      </c>
      <c r="B12" s="3">
        <v>22</v>
      </c>
      <c r="C12" s="10">
        <v>525</v>
      </c>
      <c r="D12" s="10">
        <v>16437</v>
      </c>
      <c r="E12" s="10">
        <v>7486</v>
      </c>
      <c r="F12" s="10">
        <v>3714</v>
      </c>
      <c r="G12" s="10">
        <v>956</v>
      </c>
      <c r="H12" s="10">
        <v>0</v>
      </c>
      <c r="I12" s="10">
        <f t="shared" si="0"/>
        <v>29118</v>
      </c>
      <c r="J12" s="10">
        <v>410</v>
      </c>
      <c r="L12" s="15">
        <v>133858.82999999999</v>
      </c>
      <c r="M12" s="6" t="s">
        <v>13</v>
      </c>
      <c r="N12" s="54">
        <f t="shared" si="1"/>
        <v>56992.03</v>
      </c>
      <c r="O12" s="54">
        <f t="shared" si="2"/>
        <v>76866.8</v>
      </c>
    </row>
    <row r="13" spans="1:15" ht="15" x14ac:dyDescent="0.25">
      <c r="A13" s="3">
        <v>16</v>
      </c>
      <c r="B13" s="3">
        <v>11</v>
      </c>
      <c r="C13" s="10">
        <v>170</v>
      </c>
      <c r="D13" s="10">
        <v>10324</v>
      </c>
      <c r="E13" s="10">
        <v>4750</v>
      </c>
      <c r="F13" s="10">
        <v>1721</v>
      </c>
      <c r="G13" s="10">
        <v>687</v>
      </c>
      <c r="H13" s="10">
        <v>0</v>
      </c>
      <c r="I13" s="10">
        <f t="shared" si="0"/>
        <v>17652</v>
      </c>
      <c r="J13" s="10">
        <v>255</v>
      </c>
      <c r="L13" s="15">
        <v>82158.67</v>
      </c>
      <c r="M13" s="6" t="s">
        <v>13</v>
      </c>
      <c r="N13" s="54">
        <f t="shared" si="1"/>
        <v>34351.269999999997</v>
      </c>
      <c r="O13" s="54">
        <f t="shared" si="2"/>
        <v>47807.399999999994</v>
      </c>
    </row>
    <row r="14" spans="1:15" ht="15" x14ac:dyDescent="0.25">
      <c r="A14" s="3">
        <v>22</v>
      </c>
      <c r="B14" s="3">
        <v>15</v>
      </c>
      <c r="C14" s="10">
        <v>0</v>
      </c>
      <c r="D14" s="10">
        <v>1890</v>
      </c>
      <c r="E14" s="10">
        <v>3409</v>
      </c>
      <c r="F14" s="10">
        <v>2097</v>
      </c>
      <c r="G14" s="10">
        <v>0</v>
      </c>
      <c r="H14" s="10">
        <v>0</v>
      </c>
      <c r="I14" s="10">
        <f t="shared" si="0"/>
        <v>7396</v>
      </c>
      <c r="J14" s="10">
        <v>89</v>
      </c>
      <c r="L14" s="14">
        <v>32078.21</v>
      </c>
      <c r="M14" s="5" t="s">
        <v>13</v>
      </c>
      <c r="N14" s="54">
        <f t="shared" si="1"/>
        <v>15392.490000000002</v>
      </c>
      <c r="O14" s="54">
        <f t="shared" si="2"/>
        <v>16685.719999999998</v>
      </c>
    </row>
    <row r="15" spans="1:15" ht="15" x14ac:dyDescent="0.25">
      <c r="A15" s="3">
        <v>11</v>
      </c>
      <c r="B15" s="3">
        <v>8</v>
      </c>
      <c r="C15" s="10">
        <v>884</v>
      </c>
      <c r="D15" s="10">
        <v>32850</v>
      </c>
      <c r="E15" s="10">
        <v>27374</v>
      </c>
      <c r="F15" s="10">
        <v>20381</v>
      </c>
      <c r="G15" s="10">
        <v>3876</v>
      </c>
      <c r="H15" s="10">
        <v>421</v>
      </c>
      <c r="I15" s="10">
        <f t="shared" si="0"/>
        <v>85786</v>
      </c>
      <c r="J15" s="10">
        <v>1162</v>
      </c>
      <c r="L15" s="15">
        <v>399965.68</v>
      </c>
      <c r="M15" s="6" t="s">
        <v>14</v>
      </c>
      <c r="N15" s="54">
        <f t="shared" si="1"/>
        <v>182113.92000000001</v>
      </c>
      <c r="O15" s="54">
        <f t="shared" si="2"/>
        <v>217851.75999999998</v>
      </c>
    </row>
    <row r="16" spans="1:15" ht="15" x14ac:dyDescent="0.25">
      <c r="A16" s="3">
        <v>2</v>
      </c>
      <c r="B16" s="3">
        <v>2</v>
      </c>
      <c r="C16" s="10">
        <v>5270</v>
      </c>
      <c r="D16" s="10">
        <v>24160</v>
      </c>
      <c r="E16" s="10">
        <v>23978</v>
      </c>
      <c r="F16" s="10">
        <v>2605</v>
      </c>
      <c r="G16" s="10">
        <v>2503</v>
      </c>
      <c r="H16" s="10">
        <v>1041</v>
      </c>
      <c r="I16" s="10">
        <f t="shared" si="0"/>
        <v>59557</v>
      </c>
      <c r="J16" s="10">
        <v>833</v>
      </c>
      <c r="L16" s="15">
        <v>276574.27</v>
      </c>
      <c r="M16" s="6" t="s">
        <v>14</v>
      </c>
      <c r="N16" s="54">
        <f t="shared" si="1"/>
        <v>120403.43000000001</v>
      </c>
      <c r="O16" s="54">
        <f t="shared" si="2"/>
        <v>156170.84</v>
      </c>
    </row>
    <row r="17" spans="1:15" ht="15" x14ac:dyDescent="0.25">
      <c r="A17" s="3">
        <v>6</v>
      </c>
      <c r="B17" s="3">
        <v>5</v>
      </c>
      <c r="C17" s="10">
        <v>0</v>
      </c>
      <c r="D17" s="10">
        <v>7359</v>
      </c>
      <c r="E17" s="10">
        <v>4616</v>
      </c>
      <c r="F17" s="10">
        <v>755</v>
      </c>
      <c r="G17" s="10">
        <v>0</v>
      </c>
      <c r="H17" s="10">
        <v>0</v>
      </c>
      <c r="I17" s="10">
        <f t="shared" si="0"/>
        <v>12730</v>
      </c>
      <c r="J17" s="10">
        <v>206</v>
      </c>
      <c r="L17" s="15">
        <v>62257.66</v>
      </c>
      <c r="M17" s="6" t="s">
        <v>14</v>
      </c>
      <c r="N17" s="54">
        <f t="shared" si="1"/>
        <v>23636.78</v>
      </c>
      <c r="O17" s="54">
        <f t="shared" si="2"/>
        <v>38620.879999999997</v>
      </c>
    </row>
    <row r="18" spans="1:15" ht="15" x14ac:dyDescent="0.25">
      <c r="A18" s="3">
        <v>34</v>
      </c>
      <c r="B18" s="3">
        <v>24</v>
      </c>
      <c r="C18" s="10">
        <v>287</v>
      </c>
      <c r="D18" s="10">
        <v>17221</v>
      </c>
      <c r="E18" s="10">
        <v>4945</v>
      </c>
      <c r="F18" s="10">
        <v>1885</v>
      </c>
      <c r="G18" s="10">
        <v>1138</v>
      </c>
      <c r="H18" s="10">
        <v>346</v>
      </c>
      <c r="I18" s="10">
        <f t="shared" si="0"/>
        <v>25822</v>
      </c>
      <c r="J18" s="10">
        <v>375</v>
      </c>
      <c r="L18" s="15">
        <v>121681.82</v>
      </c>
      <c r="M18" s="6" t="s">
        <v>14</v>
      </c>
      <c r="N18" s="54">
        <f t="shared" si="1"/>
        <v>51376.819999999992</v>
      </c>
      <c r="O18" s="54">
        <f t="shared" si="2"/>
        <v>70305</v>
      </c>
    </row>
    <row r="19" spans="1:15" ht="15" x14ac:dyDescent="0.25">
      <c r="A19" s="3">
        <v>38</v>
      </c>
      <c r="B19" s="3">
        <v>27</v>
      </c>
      <c r="C19" s="10">
        <v>4470</v>
      </c>
      <c r="D19" s="10">
        <v>12257</v>
      </c>
      <c r="E19" s="10">
        <v>4405</v>
      </c>
      <c r="F19" s="10">
        <v>9500</v>
      </c>
      <c r="G19" s="10">
        <v>5330</v>
      </c>
      <c r="H19" s="10">
        <v>1244</v>
      </c>
      <c r="I19" s="10">
        <f t="shared" si="0"/>
        <v>37206</v>
      </c>
      <c r="J19" s="10">
        <v>349</v>
      </c>
      <c r="L19" s="15">
        <v>155920.10999999999</v>
      </c>
      <c r="M19" s="6" t="s">
        <v>14</v>
      </c>
      <c r="N19" s="54">
        <f t="shared" si="1"/>
        <v>90489.590000000011</v>
      </c>
      <c r="O19" s="54">
        <f t="shared" si="2"/>
        <v>65430.52</v>
      </c>
    </row>
    <row r="20" spans="1:15" ht="15" x14ac:dyDescent="0.25">
      <c r="A20" s="3">
        <v>39</v>
      </c>
      <c r="B20" s="3">
        <v>28</v>
      </c>
      <c r="C20" s="10">
        <v>1976</v>
      </c>
      <c r="D20" s="10">
        <v>26121</v>
      </c>
      <c r="E20" s="10">
        <v>8405</v>
      </c>
      <c r="F20" s="10">
        <v>7400</v>
      </c>
      <c r="G20" s="10">
        <v>3276</v>
      </c>
      <c r="H20" s="10">
        <v>2324</v>
      </c>
      <c r="I20" s="10">
        <f t="shared" si="0"/>
        <v>49502</v>
      </c>
      <c r="J20" s="10">
        <v>580</v>
      </c>
      <c r="L20" s="15">
        <v>221512.39</v>
      </c>
      <c r="M20" s="5" t="s">
        <v>14</v>
      </c>
      <c r="N20" s="54">
        <f t="shared" si="1"/>
        <v>112773.99</v>
      </c>
      <c r="O20" s="54">
        <f t="shared" si="2"/>
        <v>108738.4</v>
      </c>
    </row>
    <row r="21" spans="1:15" ht="15" x14ac:dyDescent="0.25">
      <c r="A21" s="3">
        <v>39</v>
      </c>
      <c r="B21" s="3">
        <v>28</v>
      </c>
      <c r="C21" s="10">
        <v>0</v>
      </c>
      <c r="D21" s="10">
        <v>3931</v>
      </c>
      <c r="E21" s="10">
        <v>1455</v>
      </c>
      <c r="F21" s="10">
        <v>6167</v>
      </c>
      <c r="G21" s="10">
        <v>3045</v>
      </c>
      <c r="H21" s="10">
        <v>1635</v>
      </c>
      <c r="I21" s="10">
        <f t="shared" si="0"/>
        <v>16233</v>
      </c>
      <c r="J21" s="10">
        <v>185</v>
      </c>
      <c r="L21" s="15">
        <v>83508.86</v>
      </c>
      <c r="M21" s="6" t="s">
        <v>15</v>
      </c>
      <c r="N21" s="54">
        <f t="shared" si="1"/>
        <v>48825.06</v>
      </c>
      <c r="O21" s="54">
        <f t="shared" si="2"/>
        <v>34683.799999999996</v>
      </c>
    </row>
    <row r="22" spans="1:15" x14ac:dyDescent="0.3">
      <c r="A22" s="3">
        <v>0</v>
      </c>
      <c r="B22" s="3">
        <v>1</v>
      </c>
      <c r="C22" s="10">
        <v>1141</v>
      </c>
      <c r="D22" s="10">
        <v>15408</v>
      </c>
      <c r="E22" s="10">
        <v>20379</v>
      </c>
      <c r="F22" s="10">
        <v>10182</v>
      </c>
      <c r="G22" s="10">
        <v>667</v>
      </c>
      <c r="H22" s="10">
        <v>0</v>
      </c>
      <c r="I22" s="10">
        <f t="shared" si="0"/>
        <v>47777</v>
      </c>
      <c r="J22" s="10">
        <v>563</v>
      </c>
      <c r="L22" s="15">
        <v>202780.47</v>
      </c>
      <c r="M22" s="6" t="s">
        <v>15</v>
      </c>
      <c r="N22" s="54">
        <f t="shared" si="1"/>
        <v>97229.23</v>
      </c>
      <c r="O22" s="54">
        <f t="shared" si="2"/>
        <v>105551.23999999999</v>
      </c>
    </row>
    <row r="23" spans="1:15" x14ac:dyDescent="0.3">
      <c r="A23" s="3" t="s">
        <v>19</v>
      </c>
      <c r="B23" s="3">
        <v>28</v>
      </c>
      <c r="C23" s="10">
        <v>0</v>
      </c>
      <c r="D23" s="10">
        <v>578</v>
      </c>
      <c r="E23" s="10">
        <v>0</v>
      </c>
      <c r="F23" s="10">
        <v>709</v>
      </c>
      <c r="G23" s="10">
        <v>0</v>
      </c>
      <c r="H23" s="10">
        <v>0</v>
      </c>
      <c r="I23" s="10">
        <f t="shared" si="0"/>
        <v>1287</v>
      </c>
      <c r="J23" s="10">
        <v>34</v>
      </c>
      <c r="L23" s="15">
        <v>9226.06</v>
      </c>
      <c r="M23" s="6" t="s">
        <v>15</v>
      </c>
      <c r="N23" s="54">
        <f t="shared" si="1"/>
        <v>2851.7400000000002</v>
      </c>
      <c r="O23" s="54">
        <f t="shared" si="2"/>
        <v>6374.32</v>
      </c>
    </row>
    <row r="24" spans="1:15" x14ac:dyDescent="0.3">
      <c r="A24" s="3" t="s">
        <v>20</v>
      </c>
      <c r="B24" s="3">
        <v>24</v>
      </c>
      <c r="C24" s="10">
        <v>0</v>
      </c>
      <c r="D24" s="10">
        <v>1054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1054</v>
      </c>
      <c r="J24" s="10">
        <v>12</v>
      </c>
      <c r="L24" s="15">
        <v>4062.64</v>
      </c>
      <c r="M24" s="6" t="s">
        <v>15</v>
      </c>
      <c r="N24" s="54">
        <f t="shared" si="1"/>
        <v>1812.8799999999999</v>
      </c>
      <c r="O24" s="54">
        <f t="shared" si="2"/>
        <v>2249.7599999999998</v>
      </c>
    </row>
    <row r="25" spans="1:15" x14ac:dyDescent="0.3">
      <c r="A25" s="3">
        <v>25</v>
      </c>
      <c r="B25" s="3">
        <v>18</v>
      </c>
      <c r="C25" s="10">
        <v>4210</v>
      </c>
      <c r="D25" s="10">
        <v>16601</v>
      </c>
      <c r="E25" s="10">
        <v>3604</v>
      </c>
      <c r="F25" s="10">
        <v>11999</v>
      </c>
      <c r="G25" s="10">
        <v>8012</v>
      </c>
      <c r="H25" s="10">
        <v>1162</v>
      </c>
      <c r="I25" s="10">
        <f t="shared" si="0"/>
        <v>45588</v>
      </c>
      <c r="J25" s="10">
        <v>649</v>
      </c>
      <c r="L25" s="15">
        <v>233562.44</v>
      </c>
      <c r="M25" s="6" t="s">
        <v>15</v>
      </c>
      <c r="N25" s="54">
        <f t="shared" si="1"/>
        <v>111887.92</v>
      </c>
      <c r="O25" s="54">
        <f t="shared" si="2"/>
        <v>121674.51999999999</v>
      </c>
    </row>
    <row r="26" spans="1:15" x14ac:dyDescent="0.3">
      <c r="A26" s="3">
        <v>52</v>
      </c>
      <c r="B26" s="3">
        <v>35</v>
      </c>
      <c r="C26" s="10">
        <v>76</v>
      </c>
      <c r="D26" s="10">
        <v>8328</v>
      </c>
      <c r="E26" s="10">
        <v>2437</v>
      </c>
      <c r="F26" s="10">
        <v>6058</v>
      </c>
      <c r="G26" s="10">
        <v>12973</v>
      </c>
      <c r="H26" s="10">
        <v>3726</v>
      </c>
      <c r="I26" s="10">
        <f t="shared" si="0"/>
        <v>33598</v>
      </c>
      <c r="J26" s="10">
        <v>494</v>
      </c>
      <c r="L26" s="15">
        <v>202642.78</v>
      </c>
      <c r="M26" s="6" t="s">
        <v>15</v>
      </c>
      <c r="N26" s="54">
        <f t="shared" si="1"/>
        <v>110027.65999999999</v>
      </c>
      <c r="O26" s="54">
        <f t="shared" si="2"/>
        <v>92615.12</v>
      </c>
    </row>
    <row r="27" spans="1:15" x14ac:dyDescent="0.3">
      <c r="A27" s="3" t="s">
        <v>6</v>
      </c>
      <c r="B27" s="3">
        <v>1</v>
      </c>
      <c r="C27" s="10">
        <v>60</v>
      </c>
      <c r="D27" s="10">
        <v>17</v>
      </c>
      <c r="E27" s="10">
        <v>0</v>
      </c>
      <c r="F27" s="10">
        <v>213</v>
      </c>
      <c r="G27" s="10">
        <v>123</v>
      </c>
      <c r="H27" s="10">
        <v>0</v>
      </c>
      <c r="I27" s="10">
        <f t="shared" si="0"/>
        <v>413</v>
      </c>
      <c r="J27" s="10">
        <v>8</v>
      </c>
      <c r="L27" s="15">
        <v>2640.07</v>
      </c>
      <c r="M27" s="6" t="s">
        <v>15</v>
      </c>
      <c r="N27" s="54">
        <f t="shared" si="1"/>
        <v>1140.23</v>
      </c>
      <c r="O27" s="54">
        <f t="shared" si="2"/>
        <v>1499.84</v>
      </c>
    </row>
    <row r="28" spans="1:15" x14ac:dyDescent="0.3">
      <c r="A28" s="3" t="s">
        <v>7</v>
      </c>
      <c r="B28" s="3">
        <v>22</v>
      </c>
      <c r="C28" s="10">
        <v>515</v>
      </c>
      <c r="D28" s="10">
        <v>2955</v>
      </c>
      <c r="E28" s="10">
        <v>354</v>
      </c>
      <c r="F28" s="10">
        <v>0</v>
      </c>
      <c r="G28" s="10">
        <v>0</v>
      </c>
      <c r="H28" s="10">
        <v>0</v>
      </c>
      <c r="I28" s="10">
        <f t="shared" si="0"/>
        <v>3824</v>
      </c>
      <c r="J28" s="10">
        <v>31</v>
      </c>
      <c r="L28" s="15">
        <v>12413.93</v>
      </c>
      <c r="M28" s="6" t="s">
        <v>15</v>
      </c>
      <c r="N28" s="54">
        <f t="shared" si="1"/>
        <v>6602.05</v>
      </c>
      <c r="O28" s="54">
        <f t="shared" si="2"/>
        <v>5811.88</v>
      </c>
    </row>
    <row r="29" spans="1:15" x14ac:dyDescent="0.3">
      <c r="A29" s="3">
        <v>31</v>
      </c>
      <c r="B29" s="3">
        <v>21</v>
      </c>
      <c r="C29" s="10">
        <v>0</v>
      </c>
      <c r="D29" s="10">
        <v>10130</v>
      </c>
      <c r="E29" s="10">
        <v>5638</v>
      </c>
      <c r="F29" s="10">
        <v>16709</v>
      </c>
      <c r="G29" s="10">
        <v>0</v>
      </c>
      <c r="H29" s="10">
        <v>0</v>
      </c>
      <c r="I29" s="10">
        <f t="shared" si="0"/>
        <v>32477</v>
      </c>
      <c r="J29" s="10">
        <v>335</v>
      </c>
      <c r="L29" s="15">
        <v>135001.07999999999</v>
      </c>
      <c r="M29" s="6" t="s">
        <v>15</v>
      </c>
      <c r="N29" s="54">
        <f t="shared" si="1"/>
        <v>72195.28</v>
      </c>
      <c r="O29" s="54">
        <f t="shared" si="2"/>
        <v>62805.799999999996</v>
      </c>
    </row>
    <row r="30" spans="1:15" x14ac:dyDescent="0.3">
      <c r="A30" s="3">
        <v>35</v>
      </c>
      <c r="B30" s="3">
        <v>25</v>
      </c>
      <c r="C30" s="10">
        <v>4574</v>
      </c>
      <c r="D30" s="10">
        <v>39498</v>
      </c>
      <c r="E30" s="10">
        <v>13456</v>
      </c>
      <c r="F30" s="10">
        <v>11359</v>
      </c>
      <c r="G30" s="10">
        <v>6695</v>
      </c>
      <c r="H30" s="10">
        <v>5808</v>
      </c>
      <c r="I30" s="10">
        <f t="shared" si="0"/>
        <v>81390</v>
      </c>
      <c r="J30" s="10">
        <v>974</v>
      </c>
      <c r="L30" s="15">
        <v>380562.05</v>
      </c>
      <c r="M30" s="6" t="s">
        <v>15</v>
      </c>
      <c r="N30" s="54">
        <f t="shared" si="1"/>
        <v>197956.53</v>
      </c>
      <c r="O30" s="54">
        <f t="shared" si="2"/>
        <v>182605.52</v>
      </c>
    </row>
    <row r="31" spans="1:15" x14ac:dyDescent="0.3">
      <c r="A31" s="3">
        <v>23</v>
      </c>
      <c r="B31" s="3">
        <v>16</v>
      </c>
      <c r="C31" s="10">
        <v>2188</v>
      </c>
      <c r="D31" s="10">
        <v>5259</v>
      </c>
      <c r="E31" s="10">
        <v>1700</v>
      </c>
      <c r="F31" s="10">
        <v>1012</v>
      </c>
      <c r="G31" s="10">
        <v>1246</v>
      </c>
      <c r="H31" s="10">
        <v>0</v>
      </c>
      <c r="I31" s="10">
        <f t="shared" si="0"/>
        <v>11405</v>
      </c>
      <c r="J31" s="10">
        <v>140</v>
      </c>
      <c r="L31" s="15">
        <v>49404.46</v>
      </c>
      <c r="M31" s="6" t="s">
        <v>15</v>
      </c>
      <c r="N31" s="54">
        <f t="shared" si="1"/>
        <v>23157.26</v>
      </c>
      <c r="O31" s="54">
        <f t="shared" si="2"/>
        <v>26247.199999999997</v>
      </c>
    </row>
    <row r="32" spans="1:15" x14ac:dyDescent="0.3">
      <c r="A32" s="3">
        <v>18</v>
      </c>
      <c r="B32" s="3">
        <v>13</v>
      </c>
      <c r="C32" s="10">
        <v>0</v>
      </c>
      <c r="D32" s="10">
        <v>3192</v>
      </c>
      <c r="E32" s="10">
        <v>223</v>
      </c>
      <c r="F32" s="10">
        <v>0</v>
      </c>
      <c r="G32" s="10">
        <v>0</v>
      </c>
      <c r="H32" s="10">
        <v>0</v>
      </c>
      <c r="I32" s="10">
        <f t="shared" si="0"/>
        <v>3415</v>
      </c>
      <c r="J32" s="10">
        <v>70</v>
      </c>
      <c r="L32" s="14">
        <v>19048.689999999999</v>
      </c>
      <c r="M32" s="5" t="s">
        <v>15</v>
      </c>
      <c r="N32" s="54">
        <f t="shared" si="1"/>
        <v>5925.09</v>
      </c>
      <c r="O32" s="54">
        <f t="shared" si="2"/>
        <v>13123.599999999999</v>
      </c>
    </row>
    <row r="33" spans="1:15" x14ac:dyDescent="0.3">
      <c r="A33" s="3" t="s">
        <v>8</v>
      </c>
      <c r="B33" s="3">
        <v>13</v>
      </c>
      <c r="C33" s="10">
        <v>0</v>
      </c>
      <c r="D33" s="10">
        <v>3743</v>
      </c>
      <c r="E33" s="10">
        <v>0</v>
      </c>
      <c r="F33" s="10">
        <v>751</v>
      </c>
      <c r="G33" s="10">
        <v>0</v>
      </c>
      <c r="H33" s="10">
        <v>0</v>
      </c>
      <c r="I33" s="10">
        <f t="shared" si="0"/>
        <v>4494</v>
      </c>
      <c r="J33" s="10">
        <v>79</v>
      </c>
      <c r="L33" s="15">
        <v>23216.5</v>
      </c>
      <c r="M33" s="6" t="s">
        <v>16</v>
      </c>
      <c r="N33" s="54">
        <f t="shared" si="1"/>
        <v>8405.58</v>
      </c>
      <c r="O33" s="54">
        <f t="shared" si="2"/>
        <v>14810.92</v>
      </c>
    </row>
    <row r="34" spans="1:15" x14ac:dyDescent="0.3">
      <c r="A34" s="3" t="s">
        <v>9</v>
      </c>
      <c r="B34" s="3">
        <v>16</v>
      </c>
      <c r="C34" s="10">
        <v>0</v>
      </c>
      <c r="D34" s="10">
        <v>4727</v>
      </c>
      <c r="E34" s="10">
        <v>1953</v>
      </c>
      <c r="F34" s="10">
        <v>890</v>
      </c>
      <c r="G34" s="10">
        <v>365</v>
      </c>
      <c r="H34" s="10">
        <v>0</v>
      </c>
      <c r="I34" s="10">
        <f t="shared" si="0"/>
        <v>7935</v>
      </c>
      <c r="J34" s="10">
        <v>111</v>
      </c>
      <c r="L34" s="15">
        <v>36435.019999999997</v>
      </c>
      <c r="M34" s="6" t="s">
        <v>16</v>
      </c>
      <c r="N34" s="54">
        <f t="shared" si="1"/>
        <v>15624.74</v>
      </c>
      <c r="O34" s="54">
        <f t="shared" si="2"/>
        <v>20810.28</v>
      </c>
    </row>
    <row r="35" spans="1:15" x14ac:dyDescent="0.3">
      <c r="A35" s="3" t="s">
        <v>10</v>
      </c>
      <c r="B35" s="3">
        <v>25</v>
      </c>
      <c r="C35" s="10">
        <v>0</v>
      </c>
      <c r="D35" s="10">
        <v>3578</v>
      </c>
      <c r="E35" s="10">
        <v>1005</v>
      </c>
      <c r="F35" s="10">
        <v>3123</v>
      </c>
      <c r="G35" s="10">
        <v>48</v>
      </c>
      <c r="H35" s="10">
        <v>0</v>
      </c>
      <c r="I35" s="10">
        <f t="shared" si="0"/>
        <v>7754</v>
      </c>
      <c r="J35" s="10">
        <v>96</v>
      </c>
      <c r="L35" s="15">
        <v>34472.33</v>
      </c>
      <c r="M35" s="6" t="s">
        <v>16</v>
      </c>
      <c r="N35" s="54">
        <f t="shared" si="1"/>
        <v>16474.25</v>
      </c>
      <c r="O35" s="54">
        <f t="shared" si="2"/>
        <v>17998.079999999998</v>
      </c>
    </row>
    <row r="36" spans="1:15" x14ac:dyDescent="0.3">
      <c r="A36" s="3">
        <v>3</v>
      </c>
      <c r="B36" s="3">
        <v>3</v>
      </c>
      <c r="C36" s="10">
        <v>6791</v>
      </c>
      <c r="D36" s="10">
        <v>23071</v>
      </c>
      <c r="E36" s="10">
        <v>12420</v>
      </c>
      <c r="F36" s="10">
        <v>970</v>
      </c>
      <c r="G36" s="10">
        <v>424</v>
      </c>
      <c r="H36" s="11">
        <v>2806</v>
      </c>
      <c r="I36" s="10">
        <f t="shared" si="0"/>
        <v>46482</v>
      </c>
      <c r="J36" s="10">
        <v>509</v>
      </c>
      <c r="L36" s="14">
        <v>194579.59</v>
      </c>
      <c r="M36" s="5" t="s">
        <v>16</v>
      </c>
      <c r="N36" s="54">
        <f t="shared" si="1"/>
        <v>99152.26999999999</v>
      </c>
      <c r="O36" s="54">
        <f t="shared" si="2"/>
        <v>95427.319999999992</v>
      </c>
    </row>
    <row r="37" spans="1:15" x14ac:dyDescent="0.3">
      <c r="A37" s="3">
        <v>37</v>
      </c>
      <c r="B37" s="3">
        <v>26</v>
      </c>
      <c r="C37" s="12">
        <v>270</v>
      </c>
      <c r="D37" s="12">
        <v>1925</v>
      </c>
      <c r="E37" s="12">
        <v>1396</v>
      </c>
      <c r="F37" s="12">
        <v>1330</v>
      </c>
      <c r="G37" s="12">
        <v>253</v>
      </c>
      <c r="H37" s="12">
        <v>0</v>
      </c>
      <c r="I37" s="22">
        <f t="shared" si="0"/>
        <v>5174</v>
      </c>
      <c r="J37" s="12">
        <v>154</v>
      </c>
      <c r="L37" s="14">
        <v>39763.050000000003</v>
      </c>
      <c r="M37" s="6" t="s">
        <v>17</v>
      </c>
      <c r="N37" s="55">
        <f t="shared" si="1"/>
        <v>10891.13</v>
      </c>
      <c r="O37" s="55">
        <f t="shared" si="2"/>
        <v>28871.919999999998</v>
      </c>
    </row>
    <row r="38" spans="1:15" x14ac:dyDescent="0.3">
      <c r="C38" s="13">
        <f>SUM(C3:C37)</f>
        <v>47615</v>
      </c>
      <c r="D38" s="13">
        <f>SUM(D2:D37)</f>
        <v>603791</v>
      </c>
      <c r="E38" s="13">
        <f>SUM(E3:E37)</f>
        <v>299330</v>
      </c>
      <c r="F38" s="13">
        <f>SUM(F3:F37)</f>
        <v>189697</v>
      </c>
      <c r="G38" s="13">
        <f>SUM(G3:G37)</f>
        <v>82547</v>
      </c>
      <c r="H38" s="13">
        <f>SUM(H3:H36)</f>
        <v>26049</v>
      </c>
      <c r="I38" s="13">
        <f>SUM(I2:I37)</f>
        <v>1249029</v>
      </c>
      <c r="J38" s="13">
        <f>SUM(J2:J37)</f>
        <v>15600</v>
      </c>
      <c r="L38" s="19">
        <f>SUM(L2:L37)</f>
        <v>5614370.4799999995</v>
      </c>
      <c r="N38" s="19">
        <f>SUM(N2:N37)</f>
        <v>2689682.4799999995</v>
      </c>
      <c r="O38" s="19">
        <f>SUM(O2:O37)</f>
        <v>2924687.9999999991</v>
      </c>
    </row>
    <row r="39" spans="1:15" x14ac:dyDescent="0.3">
      <c r="N39" s="16"/>
      <c r="O39" s="16">
        <f>N38+O38</f>
        <v>5614370.4799999986</v>
      </c>
    </row>
    <row r="40" spans="1:15" x14ac:dyDescent="0.3">
      <c r="A40" s="1" t="s">
        <v>21</v>
      </c>
      <c r="B40" s="3"/>
      <c r="C40" s="3"/>
      <c r="D40" s="3" t="s">
        <v>23</v>
      </c>
      <c r="E40" s="3" t="s">
        <v>24</v>
      </c>
      <c r="F40" s="3" t="s">
        <v>25</v>
      </c>
      <c r="I40" s="10"/>
      <c r="J40" s="10"/>
    </row>
    <row r="41" spans="1:15" x14ac:dyDescent="0.3">
      <c r="A41" s="2" t="s">
        <v>11</v>
      </c>
      <c r="B41" s="16">
        <v>35617.760000000002</v>
      </c>
      <c r="D41" s="13">
        <v>47615</v>
      </c>
      <c r="E41" s="16">
        <v>1.61</v>
      </c>
      <c r="F41" s="16">
        <v>76660.149999999994</v>
      </c>
    </row>
    <row r="42" spans="1:15" x14ac:dyDescent="0.3">
      <c r="A42" s="2" t="s">
        <v>12</v>
      </c>
      <c r="B42" s="16">
        <v>357781.11</v>
      </c>
      <c r="D42" s="13">
        <v>603791</v>
      </c>
      <c r="E42" s="16">
        <v>1.72</v>
      </c>
      <c r="F42" s="16">
        <v>1038520.52</v>
      </c>
    </row>
    <row r="43" spans="1:15" x14ac:dyDescent="0.3">
      <c r="A43" s="2" t="s">
        <v>13</v>
      </c>
      <c r="B43" s="16">
        <v>2319739.66</v>
      </c>
      <c r="D43" s="13">
        <v>299330</v>
      </c>
      <c r="E43" s="16">
        <v>1.95</v>
      </c>
      <c r="F43" s="16">
        <v>583693.5</v>
      </c>
    </row>
    <row r="44" spans="1:15" x14ac:dyDescent="0.3">
      <c r="A44" s="2" t="s">
        <v>14</v>
      </c>
      <c r="B44" s="16">
        <v>1237911.93</v>
      </c>
      <c r="D44" s="13">
        <v>189697</v>
      </c>
      <c r="E44" s="16">
        <v>2.62</v>
      </c>
      <c r="F44" s="16">
        <v>497006.14</v>
      </c>
    </row>
    <row r="45" spans="1:15" x14ac:dyDescent="0.3">
      <c r="A45" s="2" t="s">
        <v>15</v>
      </c>
      <c r="B45" s="16">
        <v>1334853.53</v>
      </c>
      <c r="D45" s="13">
        <v>82547</v>
      </c>
      <c r="E45" s="16">
        <v>3.71</v>
      </c>
      <c r="F45" s="16">
        <v>306249.37</v>
      </c>
    </row>
    <row r="46" spans="1:15" x14ac:dyDescent="0.3">
      <c r="A46" s="2" t="s">
        <v>16</v>
      </c>
      <c r="B46" s="16">
        <v>288703.44</v>
      </c>
      <c r="D46" s="13">
        <v>26049</v>
      </c>
      <c r="E46" s="16">
        <v>7.2</v>
      </c>
      <c r="F46" s="16">
        <v>187552.8</v>
      </c>
      <c r="G46" s="16">
        <f>SUM(F41:F46)</f>
        <v>2689682.48</v>
      </c>
      <c r="H46" s="6" t="s">
        <v>47</v>
      </c>
    </row>
    <row r="47" spans="1:15" x14ac:dyDescent="0.3">
      <c r="A47" s="2" t="s">
        <v>17</v>
      </c>
      <c r="B47" s="17">
        <v>39763.050000000003</v>
      </c>
      <c r="D47" s="13">
        <v>15600</v>
      </c>
      <c r="E47" s="16">
        <v>187.48</v>
      </c>
      <c r="F47" s="17">
        <v>2924688</v>
      </c>
      <c r="G47" s="32">
        <f>F47</f>
        <v>2924688</v>
      </c>
      <c r="H47" s="6" t="s">
        <v>48</v>
      </c>
    </row>
    <row r="48" spans="1:15" x14ac:dyDescent="0.3">
      <c r="A48" s="1" t="s">
        <v>22</v>
      </c>
      <c r="B48" s="18">
        <f>SUM(B41:B47)</f>
        <v>5614370.4800000004</v>
      </c>
      <c r="F48" s="18">
        <f>SUM(F41:F47)</f>
        <v>5614370.4800000004</v>
      </c>
      <c r="G48" s="16">
        <f>G46+G47</f>
        <v>5614370.4800000004</v>
      </c>
    </row>
    <row r="49" spans="4:4" x14ac:dyDescent="0.3">
      <c r="D49" s="10"/>
    </row>
  </sheetData>
  <phoneticPr fontId="8" type="noConversion"/>
  <pageMargins left="0.7" right="0.7" top="0.75" bottom="0.75" header="0.3" footer="0.3"/>
  <pageSetup paperSize="17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4.4" x14ac:dyDescent="0.3"/>
  <cols>
    <col min="1" max="2" width="15.6640625" customWidth="1"/>
  </cols>
  <sheetData>
    <row r="1" spans="1:2" x14ac:dyDescent="0.25">
      <c r="A1" s="26" t="s">
        <v>50</v>
      </c>
    </row>
    <row r="3" spans="1:2" x14ac:dyDescent="0.25">
      <c r="A3" s="26" t="s">
        <v>30</v>
      </c>
      <c r="B3" s="26" t="s">
        <v>51</v>
      </c>
    </row>
    <row r="4" spans="1:2" x14ac:dyDescent="0.25">
      <c r="A4" s="56" t="s">
        <v>57</v>
      </c>
      <c r="B4" s="30">
        <v>248.5</v>
      </c>
    </row>
    <row r="5" spans="1:2" x14ac:dyDescent="0.25">
      <c r="A5" t="s">
        <v>52</v>
      </c>
      <c r="B5" s="30">
        <v>930</v>
      </c>
    </row>
    <row r="6" spans="1:2" x14ac:dyDescent="0.25">
      <c r="A6" t="s">
        <v>53</v>
      </c>
      <c r="B6" s="30">
        <v>383.5</v>
      </c>
    </row>
    <row r="7" spans="1:2" x14ac:dyDescent="0.25">
      <c r="A7" t="s">
        <v>54</v>
      </c>
      <c r="B7" s="30">
        <v>4160</v>
      </c>
    </row>
    <row r="8" spans="1:2" x14ac:dyDescent="0.25">
      <c r="A8" t="s">
        <v>55</v>
      </c>
      <c r="B8" s="43">
        <v>200</v>
      </c>
    </row>
    <row r="9" spans="1:2" x14ac:dyDescent="0.25">
      <c r="A9" s="26" t="s">
        <v>56</v>
      </c>
      <c r="B9" s="47">
        <f>SUM(B4:B8)</f>
        <v>5922</v>
      </c>
    </row>
    <row r="10" spans="1:2" x14ac:dyDescent="0.25">
      <c r="A10" t="s">
        <v>58</v>
      </c>
    </row>
  </sheetData>
  <phoneticPr fontId="8" type="noConversion"/>
  <pageMargins left="0.75" right="0.75" top="1" bottom="1" header="0.5" footer="0.5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PW &amp; Inv Summary</vt:lpstr>
      <vt:lpstr>Pipe &amp; CB Inv Summary</vt:lpstr>
      <vt:lpstr>Landfill 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Sherman Dickerson</cp:lastModifiedBy>
  <cp:lastPrinted>2015-08-14T19:26:53Z</cp:lastPrinted>
  <dcterms:created xsi:type="dcterms:W3CDTF">2013-01-08T02:09:59Z</dcterms:created>
  <dcterms:modified xsi:type="dcterms:W3CDTF">2015-08-20T16:39:14Z</dcterms:modified>
</cp:coreProperties>
</file>